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19152" windowHeight="8508"/>
  </bookViews>
  <sheets>
    <sheet name="Arnoud VDAB Pensioenopbouw" sheetId="3" r:id="rId1"/>
    <sheet name="Blad1" sheetId="1" state="hidden" r:id="rId2"/>
    <sheet name="Blad2" sheetId="2" state="hidden" r:id="rId3"/>
    <sheet name="Blad3" sheetId="4" state="hidden" r:id="rId4"/>
    <sheet name="Blad4" sheetId="5" state="hidden" r:id="rId5"/>
    <sheet name="Print" sheetId="6" r:id="rId6"/>
  </sheets>
  <definedNames>
    <definedName name="Print_Area" localSheetId="0">'Arnoud VDAB Pensioenopbouw'!$A$1:$T$25</definedName>
  </definedNames>
  <calcPr calcId="145621"/>
</workbook>
</file>

<file path=xl/calcChain.xml><?xml version="1.0" encoding="utf-8"?>
<calcChain xmlns="http://schemas.openxmlformats.org/spreadsheetml/2006/main">
  <c r="B70" i="4" l="1"/>
  <c r="W3" i="4" l="1"/>
  <c r="W4" i="4" s="1"/>
  <c r="W5" i="4" s="1"/>
  <c r="W6" i="4" s="1"/>
  <c r="W7" i="4" s="1"/>
  <c r="W8" i="4" s="1"/>
  <c r="W9" i="4" s="1"/>
  <c r="W10" i="4" s="1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V52" i="4" l="1"/>
  <c r="V50" i="4"/>
  <c r="V48" i="4"/>
  <c r="V46" i="4"/>
  <c r="V44" i="4"/>
  <c r="V53" i="4"/>
  <c r="V51" i="4"/>
  <c r="V49" i="4"/>
  <c r="V47" i="4"/>
  <c r="V45" i="4"/>
  <c r="V43" i="4"/>
  <c r="B2" i="4"/>
  <c r="C71" i="1"/>
  <c r="A150" i="1" l="1"/>
  <c r="B3" i="4"/>
  <c r="G15" i="3"/>
  <c r="B4" i="4" l="1"/>
  <c r="N149" i="1"/>
  <c r="N147" i="1"/>
  <c r="N145" i="1"/>
  <c r="N143" i="1"/>
  <c r="N141" i="1"/>
  <c r="N139" i="1"/>
  <c r="B9" i="3"/>
  <c r="N148" i="1"/>
  <c r="N146" i="1"/>
  <c r="N144" i="1"/>
  <c r="N142" i="1"/>
  <c r="N140" i="1"/>
  <c r="C136" i="1"/>
  <c r="B8" i="3"/>
  <c r="B5" i="4" l="1"/>
  <c r="T146" i="1"/>
  <c r="R146" i="1"/>
  <c r="P146" i="1"/>
  <c r="S146" i="1"/>
  <c r="Q146" i="1"/>
  <c r="S3" i="2"/>
  <c r="B6" i="4" l="1"/>
  <c r="G135" i="1"/>
  <c r="G134" i="1"/>
  <c r="G133" i="1"/>
  <c r="G132" i="1"/>
  <c r="G131" i="1"/>
  <c r="G130" i="1"/>
  <c r="G129" i="1"/>
  <c r="G128" i="1"/>
  <c r="G127" i="1"/>
  <c r="G126" i="1"/>
  <c r="B7" i="4" l="1"/>
  <c r="G65" i="1"/>
  <c r="G64" i="1"/>
  <c r="G63" i="1"/>
  <c r="G62" i="1"/>
  <c r="G61" i="1"/>
  <c r="G60" i="1"/>
  <c r="G59" i="1"/>
  <c r="G58" i="1"/>
  <c r="G57" i="1"/>
  <c r="G56" i="1"/>
  <c r="B8" i="4" l="1"/>
  <c r="D67" i="5"/>
  <c r="D66" i="5"/>
  <c r="B9" i="4" l="1"/>
  <c r="G63" i="5"/>
  <c r="D63" i="5"/>
  <c r="B62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D14" i="5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C14" i="5"/>
  <c r="I9" i="5"/>
  <c r="F8" i="5"/>
  <c r="D8" i="5"/>
  <c r="C8" i="5"/>
  <c r="O7" i="5"/>
  <c r="M7" i="5"/>
  <c r="D6" i="5"/>
  <c r="C6" i="5"/>
  <c r="J65" i="4"/>
  <c r="L4" i="1"/>
  <c r="P19" i="3"/>
  <c r="Q19" i="3"/>
  <c r="I124" i="1" s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D14" i="1"/>
  <c r="J9" i="1"/>
  <c r="E1" i="4" s="1"/>
  <c r="G8" i="1"/>
  <c r="E8" i="1"/>
  <c r="D8" i="1"/>
  <c r="R7" i="1"/>
  <c r="P7" i="1"/>
  <c r="K7" i="1"/>
  <c r="E6" i="1"/>
  <c r="D6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E161" i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D161" i="1"/>
  <c r="J156" i="1"/>
  <c r="G155" i="1"/>
  <c r="E155" i="1"/>
  <c r="D155" i="1"/>
  <c r="R154" i="1"/>
  <c r="P154" i="1"/>
  <c r="E153" i="1"/>
  <c r="D153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I14" i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55" i="1" s="1"/>
  <c r="AH14" i="1"/>
  <c r="AH15" i="1" s="1"/>
  <c r="AN9" i="1"/>
  <c r="AK8" i="1"/>
  <c r="AI8" i="1"/>
  <c r="AH8" i="1"/>
  <c r="AT7" i="1"/>
  <c r="AR7" i="1"/>
  <c r="AO7" i="1"/>
  <c r="AI6" i="1"/>
  <c r="AH6" i="1"/>
  <c r="M60" i="4"/>
  <c r="N60" i="4" s="1"/>
  <c r="B60" i="4"/>
  <c r="K18" i="3"/>
  <c r="K17" i="3"/>
  <c r="V14" i="1"/>
  <c r="M2" i="3"/>
  <c r="E84" i="1"/>
  <c r="K16" i="3"/>
  <c r="U9" i="1"/>
  <c r="J79" i="1"/>
  <c r="G93" i="1"/>
  <c r="B7" i="3"/>
  <c r="B6" i="3"/>
  <c r="B5" i="3"/>
  <c r="B4" i="3"/>
  <c r="M3" i="3"/>
  <c r="K3" i="3"/>
  <c r="J3" i="3"/>
  <c r="I3" i="3"/>
  <c r="G3" i="3"/>
  <c r="F3" i="3"/>
  <c r="E3" i="3"/>
  <c r="D3" i="3"/>
  <c r="C3" i="3"/>
  <c r="B3" i="3"/>
  <c r="K2" i="3"/>
  <c r="J2" i="3"/>
  <c r="I2" i="3"/>
  <c r="G2" i="3"/>
  <c r="F2" i="3"/>
  <c r="E2" i="3"/>
  <c r="D2" i="3"/>
  <c r="C2" i="3"/>
  <c r="B2" i="3"/>
  <c r="X5" i="1"/>
  <c r="X4" i="1"/>
  <c r="R77" i="1"/>
  <c r="E78" i="1"/>
  <c r="E76" i="1"/>
  <c r="P77" i="1"/>
  <c r="D78" i="1"/>
  <c r="D76" i="1"/>
  <c r="G109" i="1"/>
  <c r="J3" i="1"/>
  <c r="D84" i="1"/>
  <c r="C5" i="6" s="1"/>
  <c r="T10" i="2"/>
  <c r="T9" i="2"/>
  <c r="T8" i="2"/>
  <c r="T7" i="2"/>
  <c r="T6" i="2"/>
  <c r="T5" i="2"/>
  <c r="T4" i="2"/>
  <c r="T3" i="2"/>
  <c r="G125" i="1"/>
  <c r="B10" i="4" l="1"/>
  <c r="I92" i="1"/>
  <c r="I108" i="1"/>
  <c r="I84" i="1"/>
  <c r="I100" i="1"/>
  <c r="I116" i="1"/>
  <c r="I88" i="1"/>
  <c r="I96" i="1"/>
  <c r="I104" i="1"/>
  <c r="I112" i="1"/>
  <c r="J135" i="1"/>
  <c r="J136" i="1"/>
  <c r="H58" i="5"/>
  <c r="I135" i="1"/>
  <c r="I134" i="1"/>
  <c r="I133" i="1"/>
  <c r="I132" i="1"/>
  <c r="I131" i="1"/>
  <c r="I130" i="1"/>
  <c r="I129" i="1"/>
  <c r="I128" i="1"/>
  <c r="I127" i="1"/>
  <c r="I126" i="1"/>
  <c r="I65" i="1"/>
  <c r="I64" i="1"/>
  <c r="I63" i="1"/>
  <c r="I62" i="1"/>
  <c r="I61" i="1"/>
  <c r="I60" i="1"/>
  <c r="I59" i="1"/>
  <c r="I58" i="1"/>
  <c r="I57" i="1"/>
  <c r="I56" i="1"/>
  <c r="J134" i="1"/>
  <c r="N134" i="1" s="1"/>
  <c r="J132" i="1"/>
  <c r="N132" i="1" s="1"/>
  <c r="J130" i="1"/>
  <c r="N130" i="1" s="1"/>
  <c r="J128" i="1"/>
  <c r="N128" i="1" s="1"/>
  <c r="J126" i="1"/>
  <c r="N126" i="1" s="1"/>
  <c r="J131" i="1"/>
  <c r="N131" i="1" s="1"/>
  <c r="J129" i="1"/>
  <c r="N129" i="1" s="1"/>
  <c r="J125" i="1"/>
  <c r="N125" i="1" s="1"/>
  <c r="J133" i="1"/>
  <c r="N133" i="1" s="1"/>
  <c r="J127" i="1"/>
  <c r="N127" i="1" s="1"/>
  <c r="S4" i="2"/>
  <c r="S5" i="2" s="1"/>
  <c r="S6" i="2" s="1"/>
  <c r="S7" i="2" s="1"/>
  <c r="S8" i="2" s="1"/>
  <c r="S9" i="2" s="1"/>
  <c r="S10" i="2" s="1"/>
  <c r="J64" i="1"/>
  <c r="J63" i="1"/>
  <c r="J62" i="1"/>
  <c r="J65" i="1"/>
  <c r="J122" i="1"/>
  <c r="N122" i="1" s="1"/>
  <c r="J61" i="1"/>
  <c r="J60" i="1"/>
  <c r="J59" i="1"/>
  <c r="J58" i="1"/>
  <c r="J57" i="1"/>
  <c r="J56" i="1"/>
  <c r="I120" i="1"/>
  <c r="J7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I14" i="5"/>
  <c r="I18" i="5"/>
  <c r="I22" i="5"/>
  <c r="I26" i="5"/>
  <c r="I30" i="5"/>
  <c r="I34" i="5"/>
  <c r="I38" i="5"/>
  <c r="I42" i="5"/>
  <c r="I46" i="5"/>
  <c r="I50" i="5"/>
  <c r="I56" i="5"/>
  <c r="I57" i="5"/>
  <c r="I16" i="5"/>
  <c r="I20" i="5"/>
  <c r="I24" i="5"/>
  <c r="I28" i="5"/>
  <c r="I32" i="5"/>
  <c r="I36" i="5"/>
  <c r="I40" i="5"/>
  <c r="I44" i="5"/>
  <c r="I48" i="5"/>
  <c r="I52" i="5"/>
  <c r="I59" i="5"/>
  <c r="E14" i="5"/>
  <c r="G14" i="5" s="1"/>
  <c r="I54" i="5"/>
  <c r="I58" i="5"/>
  <c r="I15" i="5"/>
  <c r="I17" i="5"/>
  <c r="I19" i="5"/>
  <c r="I21" i="5"/>
  <c r="I23" i="5"/>
  <c r="I25" i="5"/>
  <c r="I27" i="5"/>
  <c r="I29" i="5"/>
  <c r="I31" i="5"/>
  <c r="I33" i="5"/>
  <c r="I35" i="5"/>
  <c r="I37" i="5"/>
  <c r="I39" i="5"/>
  <c r="I41" i="5"/>
  <c r="I43" i="5"/>
  <c r="I45" i="5"/>
  <c r="I47" i="5"/>
  <c r="I49" i="5"/>
  <c r="I51" i="5"/>
  <c r="I53" i="5"/>
  <c r="I55" i="5"/>
  <c r="M14" i="5"/>
  <c r="J203" i="1"/>
  <c r="I86" i="1"/>
  <c r="I90" i="1"/>
  <c r="I94" i="1"/>
  <c r="I98" i="1"/>
  <c r="I102" i="1"/>
  <c r="I106" i="1"/>
  <c r="I110" i="1"/>
  <c r="I114" i="1"/>
  <c r="I118" i="1"/>
  <c r="I122" i="1"/>
  <c r="I21" i="1"/>
  <c r="E85" i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K154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85" i="1"/>
  <c r="I87" i="1"/>
  <c r="I89" i="1"/>
  <c r="I91" i="1"/>
  <c r="I93" i="1"/>
  <c r="I95" i="1"/>
  <c r="I97" i="1"/>
  <c r="I99" i="1"/>
  <c r="I101" i="1"/>
  <c r="I103" i="1"/>
  <c r="I105" i="1"/>
  <c r="I107" i="1"/>
  <c r="I109" i="1"/>
  <c r="I111" i="1"/>
  <c r="I113" i="1"/>
  <c r="I115" i="1"/>
  <c r="I117" i="1"/>
  <c r="I119" i="1"/>
  <c r="I121" i="1"/>
  <c r="I123" i="1"/>
  <c r="I125" i="1"/>
  <c r="K77" i="1"/>
  <c r="A57" i="4" s="1"/>
  <c r="B57" i="4" s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N14" i="1"/>
  <c r="AN16" i="1"/>
  <c r="AN18" i="1"/>
  <c r="AN20" i="1"/>
  <c r="AN22" i="1"/>
  <c r="AN24" i="1"/>
  <c r="AN26" i="1"/>
  <c r="AN28" i="1"/>
  <c r="AN30" i="1"/>
  <c r="AN32" i="1"/>
  <c r="AN34" i="1"/>
  <c r="AN36" i="1"/>
  <c r="AN38" i="1"/>
  <c r="AN40" i="1"/>
  <c r="AN42" i="1"/>
  <c r="AN44" i="1"/>
  <c r="AN46" i="1"/>
  <c r="AN48" i="1"/>
  <c r="AN50" i="1"/>
  <c r="AN52" i="1"/>
  <c r="AN54" i="1"/>
  <c r="AN66" i="1"/>
  <c r="J161" i="1"/>
  <c r="J163" i="1"/>
  <c r="J165" i="1"/>
  <c r="J167" i="1"/>
  <c r="J169" i="1"/>
  <c r="J171" i="1"/>
  <c r="J173" i="1"/>
  <c r="J175" i="1"/>
  <c r="J177" i="1"/>
  <c r="J179" i="1"/>
  <c r="J181" i="1"/>
  <c r="J183" i="1"/>
  <c r="J185" i="1"/>
  <c r="J187" i="1"/>
  <c r="J189" i="1"/>
  <c r="J191" i="1"/>
  <c r="J193" i="1"/>
  <c r="J195" i="1"/>
  <c r="J197" i="1"/>
  <c r="J199" i="1"/>
  <c r="J201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66" i="1"/>
  <c r="AN15" i="1"/>
  <c r="AN17" i="1"/>
  <c r="AN19" i="1"/>
  <c r="AN21" i="1"/>
  <c r="AN23" i="1"/>
  <c r="AN25" i="1"/>
  <c r="AN27" i="1"/>
  <c r="AN29" i="1"/>
  <c r="AN31" i="1"/>
  <c r="AN33" i="1"/>
  <c r="AN35" i="1"/>
  <c r="AN37" i="1"/>
  <c r="AN39" i="1"/>
  <c r="AN41" i="1"/>
  <c r="AN43" i="1"/>
  <c r="AN45" i="1"/>
  <c r="AN47" i="1"/>
  <c r="AN49" i="1"/>
  <c r="AN51" i="1"/>
  <c r="AN53" i="1"/>
  <c r="AN55" i="1"/>
  <c r="J162" i="1"/>
  <c r="J164" i="1"/>
  <c r="J166" i="1"/>
  <c r="J168" i="1"/>
  <c r="J170" i="1"/>
  <c r="J172" i="1"/>
  <c r="J174" i="1"/>
  <c r="J176" i="1"/>
  <c r="J178" i="1"/>
  <c r="J180" i="1"/>
  <c r="J182" i="1"/>
  <c r="J184" i="1"/>
  <c r="J186" i="1"/>
  <c r="J188" i="1"/>
  <c r="J190" i="1"/>
  <c r="J192" i="1"/>
  <c r="J194" i="1"/>
  <c r="J196" i="1"/>
  <c r="J198" i="1"/>
  <c r="J200" i="1"/>
  <c r="J202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F14" i="1"/>
  <c r="H14" i="1" s="1"/>
  <c r="F161" i="1"/>
  <c r="H161" i="1" s="1"/>
  <c r="AH16" i="1"/>
  <c r="AJ15" i="1"/>
  <c r="AL15" i="1" s="1"/>
  <c r="AO15" i="1" s="1"/>
  <c r="AJ14" i="1"/>
  <c r="AL14" i="1" s="1"/>
  <c r="F84" i="1"/>
  <c r="P84" i="1" s="1"/>
  <c r="G124" i="1"/>
  <c r="J84" i="1"/>
  <c r="N84" i="1" s="1"/>
  <c r="J88" i="1"/>
  <c r="N88" i="1" s="1"/>
  <c r="J92" i="1"/>
  <c r="N92" i="1" s="1"/>
  <c r="J96" i="1"/>
  <c r="N96" i="1" s="1"/>
  <c r="J100" i="1"/>
  <c r="N100" i="1" s="1"/>
  <c r="J104" i="1"/>
  <c r="N104" i="1" s="1"/>
  <c r="J108" i="1"/>
  <c r="N108" i="1" s="1"/>
  <c r="J112" i="1"/>
  <c r="N112" i="1" s="1"/>
  <c r="J116" i="1"/>
  <c r="N116" i="1" s="1"/>
  <c r="J120" i="1"/>
  <c r="N120" i="1" s="1"/>
  <c r="J124" i="1"/>
  <c r="N124" i="1" s="1"/>
  <c r="J86" i="1"/>
  <c r="N86" i="1" s="1"/>
  <c r="J90" i="1"/>
  <c r="N90" i="1" s="1"/>
  <c r="J94" i="1"/>
  <c r="N94" i="1" s="1"/>
  <c r="J98" i="1"/>
  <c r="N98" i="1" s="1"/>
  <c r="J102" i="1"/>
  <c r="N102" i="1" s="1"/>
  <c r="J106" i="1"/>
  <c r="N106" i="1" s="1"/>
  <c r="J110" i="1"/>
  <c r="N110" i="1" s="1"/>
  <c r="J114" i="1"/>
  <c r="N114" i="1" s="1"/>
  <c r="J118" i="1"/>
  <c r="N118" i="1" s="1"/>
  <c r="C4" i="3"/>
  <c r="G78" i="1"/>
  <c r="G85" i="1"/>
  <c r="G101" i="1"/>
  <c r="G117" i="1"/>
  <c r="G89" i="1"/>
  <c r="G97" i="1"/>
  <c r="G105" i="1"/>
  <c r="G113" i="1"/>
  <c r="G121" i="1"/>
  <c r="G87" i="1"/>
  <c r="G91" i="1"/>
  <c r="G95" i="1"/>
  <c r="G99" i="1"/>
  <c r="G103" i="1"/>
  <c r="G107" i="1"/>
  <c r="G111" i="1"/>
  <c r="G115" i="1"/>
  <c r="G119" i="1"/>
  <c r="G123" i="1"/>
  <c r="G84" i="1"/>
  <c r="W14" i="1" s="1"/>
  <c r="G86" i="1"/>
  <c r="G88" i="1"/>
  <c r="G90" i="1"/>
  <c r="G92" i="1"/>
  <c r="G94" i="1"/>
  <c r="G96" i="1"/>
  <c r="G98" i="1"/>
  <c r="G100" i="1"/>
  <c r="G102" i="1"/>
  <c r="G104" i="1"/>
  <c r="G106" i="1"/>
  <c r="G108" i="1"/>
  <c r="G110" i="1"/>
  <c r="G112" i="1"/>
  <c r="G114" i="1"/>
  <c r="G116" i="1"/>
  <c r="G118" i="1"/>
  <c r="G120" i="1"/>
  <c r="G122" i="1"/>
  <c r="J85" i="1"/>
  <c r="N85" i="1" s="1"/>
  <c r="J87" i="1"/>
  <c r="N87" i="1" s="1"/>
  <c r="J89" i="1"/>
  <c r="N89" i="1" s="1"/>
  <c r="J91" i="1"/>
  <c r="N91" i="1" s="1"/>
  <c r="J93" i="1"/>
  <c r="N93" i="1" s="1"/>
  <c r="J95" i="1"/>
  <c r="N95" i="1" s="1"/>
  <c r="J97" i="1"/>
  <c r="N97" i="1" s="1"/>
  <c r="J99" i="1"/>
  <c r="N99" i="1" s="1"/>
  <c r="J101" i="1"/>
  <c r="N101" i="1" s="1"/>
  <c r="J103" i="1"/>
  <c r="N103" i="1" s="1"/>
  <c r="J105" i="1"/>
  <c r="N105" i="1" s="1"/>
  <c r="J107" i="1"/>
  <c r="N107" i="1" s="1"/>
  <c r="J109" i="1"/>
  <c r="N109" i="1" s="1"/>
  <c r="J111" i="1"/>
  <c r="N111" i="1" s="1"/>
  <c r="J113" i="1"/>
  <c r="N113" i="1" s="1"/>
  <c r="J115" i="1"/>
  <c r="N115" i="1" s="1"/>
  <c r="J117" i="1"/>
  <c r="N117" i="1" s="1"/>
  <c r="J119" i="1"/>
  <c r="N119" i="1" s="1"/>
  <c r="J121" i="1"/>
  <c r="N121" i="1" s="1"/>
  <c r="J123" i="1"/>
  <c r="N123" i="1" s="1"/>
  <c r="B43" i="2"/>
  <c r="B35" i="2"/>
  <c r="B27" i="2"/>
  <c r="B19" i="2"/>
  <c r="B11" i="2"/>
  <c r="B9" i="2"/>
  <c r="B11" i="4" l="1"/>
  <c r="P14" i="1"/>
  <c r="Q14" i="1" s="1"/>
  <c r="D5" i="6"/>
  <c r="B15" i="2"/>
  <c r="B23" i="2"/>
  <c r="B31" i="2"/>
  <c r="B39" i="2"/>
  <c r="B47" i="2"/>
  <c r="N135" i="1"/>
  <c r="B13" i="2"/>
  <c r="B17" i="2"/>
  <c r="B21" i="2"/>
  <c r="B25" i="2"/>
  <c r="B29" i="2"/>
  <c r="B33" i="2"/>
  <c r="B37" i="2"/>
  <c r="B41" i="2"/>
  <c r="B45" i="2"/>
  <c r="B49" i="2"/>
  <c r="B10" i="2"/>
  <c r="B12" i="2"/>
  <c r="B14" i="2"/>
  <c r="B16" i="2"/>
  <c r="B18" i="2"/>
  <c r="B20" i="2"/>
  <c r="B22" i="2"/>
  <c r="B24" i="2"/>
  <c r="B26" i="2"/>
  <c r="B28" i="2"/>
  <c r="B30" i="2"/>
  <c r="B32" i="2"/>
  <c r="B34" i="2"/>
  <c r="B36" i="2"/>
  <c r="B38" i="2"/>
  <c r="B40" i="2"/>
  <c r="B42" i="2"/>
  <c r="B44" i="2"/>
  <c r="B46" i="2"/>
  <c r="B48" i="2"/>
  <c r="B50" i="2"/>
  <c r="G149" i="1"/>
  <c r="G147" i="1"/>
  <c r="G143" i="1"/>
  <c r="G148" i="1"/>
  <c r="G141" i="1"/>
  <c r="B8" i="2"/>
  <c r="E8" i="2" s="1"/>
  <c r="X13" i="1" s="1"/>
  <c r="O14" i="5"/>
  <c r="N14" i="5"/>
  <c r="J14" i="5"/>
  <c r="R14" i="1"/>
  <c r="S14" i="1" s="1"/>
  <c r="K14" i="1"/>
  <c r="AR14" i="1"/>
  <c r="AS14" i="1" s="1"/>
  <c r="P161" i="1"/>
  <c r="K161" i="1"/>
  <c r="AO14" i="1"/>
  <c r="AH17" i="1"/>
  <c r="AJ16" i="1"/>
  <c r="AL16" i="1" s="1"/>
  <c r="AO16" i="1" s="1"/>
  <c r="C2" i="4"/>
  <c r="D2" i="4" s="1"/>
  <c r="D4" i="3"/>
  <c r="H84" i="1"/>
  <c r="E4" i="3" s="1"/>
  <c r="I4" i="3" l="1"/>
  <c r="E5" i="6"/>
  <c r="F5" i="6"/>
  <c r="B12" i="4"/>
  <c r="I149" i="1"/>
  <c r="G145" i="1"/>
  <c r="I145" i="1"/>
  <c r="I141" i="1"/>
  <c r="I148" i="1"/>
  <c r="I143" i="1"/>
  <c r="I147" i="1"/>
  <c r="I144" i="1"/>
  <c r="G144" i="1"/>
  <c r="I146" i="1"/>
  <c r="G146" i="1"/>
  <c r="I140" i="1"/>
  <c r="G140" i="1"/>
  <c r="I142" i="1"/>
  <c r="G142" i="1"/>
  <c r="I139" i="1"/>
  <c r="G139" i="1"/>
  <c r="E9" i="2"/>
  <c r="C15" i="5" s="1"/>
  <c r="E15" i="5" s="1"/>
  <c r="K14" i="5"/>
  <c r="Q14" i="5"/>
  <c r="P14" i="5"/>
  <c r="AT14" i="1"/>
  <c r="AU14" i="1" s="1"/>
  <c r="L14" i="1"/>
  <c r="T14" i="1"/>
  <c r="Q161" i="1"/>
  <c r="R161" i="1"/>
  <c r="S161" i="1" s="1"/>
  <c r="L161" i="1"/>
  <c r="AH18" i="1"/>
  <c r="AJ17" i="1"/>
  <c r="AL17" i="1" s="1"/>
  <c r="AO17" i="1" s="1"/>
  <c r="AP14" i="1"/>
  <c r="AP15" i="1" s="1"/>
  <c r="AP16" i="1" s="1"/>
  <c r="Q84" i="1"/>
  <c r="R84" i="1"/>
  <c r="H5" i="6" s="1"/>
  <c r="K84" i="1"/>
  <c r="L5" i="6" l="1"/>
  <c r="M5" i="6"/>
  <c r="B13" i="4"/>
  <c r="I150" i="1"/>
  <c r="B11" i="3"/>
  <c r="G150" i="1"/>
  <c r="F4" i="3"/>
  <c r="D85" i="1"/>
  <c r="X14" i="1"/>
  <c r="D15" i="1"/>
  <c r="F15" i="1" s="1"/>
  <c r="H15" i="1" s="1"/>
  <c r="K15" i="1" s="1"/>
  <c r="E10" i="2"/>
  <c r="C16" i="5" s="1"/>
  <c r="E16" i="5" s="1"/>
  <c r="D162" i="1"/>
  <c r="F162" i="1" s="1"/>
  <c r="H162" i="1" s="1"/>
  <c r="K162" i="1" s="1"/>
  <c r="L162" i="1" s="1"/>
  <c r="M15" i="5"/>
  <c r="G15" i="5"/>
  <c r="AV14" i="1"/>
  <c r="M2" i="4"/>
  <c r="J4" i="3"/>
  <c r="T161" i="1"/>
  <c r="AP17" i="1"/>
  <c r="AH19" i="1"/>
  <c r="AJ18" i="1"/>
  <c r="AL18" i="1" s="1"/>
  <c r="S84" i="1"/>
  <c r="L84" i="1"/>
  <c r="T84" i="1"/>
  <c r="G4" i="3" l="1"/>
  <c r="J5" i="6"/>
  <c r="M4" i="3"/>
  <c r="K5" i="6"/>
  <c r="K4" i="3"/>
  <c r="I5" i="6"/>
  <c r="B14" i="4"/>
  <c r="F85" i="1"/>
  <c r="C6" i="6"/>
  <c r="L15" i="1"/>
  <c r="X15" i="1"/>
  <c r="D86" i="1"/>
  <c r="E11" i="2"/>
  <c r="D163" i="1"/>
  <c r="F163" i="1" s="1"/>
  <c r="H163" i="1" s="1"/>
  <c r="K163" i="1" s="1"/>
  <c r="L163" i="1" s="1"/>
  <c r="D16" i="1"/>
  <c r="F16" i="1" s="1"/>
  <c r="H16" i="1" s="1"/>
  <c r="K16" i="1" s="1"/>
  <c r="O15" i="5"/>
  <c r="N15" i="5"/>
  <c r="J15" i="5"/>
  <c r="M16" i="5"/>
  <c r="G16" i="5"/>
  <c r="J16" i="5" s="1"/>
  <c r="AO18" i="1"/>
  <c r="AH20" i="1"/>
  <c r="AJ19" i="1"/>
  <c r="AL19" i="1" s="1"/>
  <c r="AO19" i="1" s="1"/>
  <c r="H85" i="1" l="1"/>
  <c r="K85" i="1" s="1"/>
  <c r="P85" i="1"/>
  <c r="B15" i="4"/>
  <c r="P162" i="1"/>
  <c r="Q162" i="1" s="1"/>
  <c r="AR15" i="1"/>
  <c r="AS15" i="1" s="1"/>
  <c r="C3" i="4"/>
  <c r="D3" i="4" s="1"/>
  <c r="P15" i="1"/>
  <c r="D6" i="6"/>
  <c r="F86" i="1"/>
  <c r="C7" i="6"/>
  <c r="L16" i="1"/>
  <c r="D87" i="1"/>
  <c r="D164" i="1"/>
  <c r="F164" i="1" s="1"/>
  <c r="H164" i="1" s="1"/>
  <c r="K164" i="1" s="1"/>
  <c r="L164" i="1" s="1"/>
  <c r="C17" i="5"/>
  <c r="E17" i="5" s="1"/>
  <c r="M17" i="5" s="1"/>
  <c r="E12" i="2"/>
  <c r="E13" i="2" s="1"/>
  <c r="X16" i="1"/>
  <c r="D17" i="1"/>
  <c r="F17" i="1" s="1"/>
  <c r="H17" i="1" s="1"/>
  <c r="K17" i="1" s="1"/>
  <c r="G17" i="5"/>
  <c r="J17" i="5" s="1"/>
  <c r="Q15" i="5"/>
  <c r="P15" i="5"/>
  <c r="O16" i="5"/>
  <c r="Q16" i="5" s="1"/>
  <c r="N16" i="5"/>
  <c r="K15" i="5"/>
  <c r="K16" i="5" s="1"/>
  <c r="AH21" i="1"/>
  <c r="AJ20" i="1"/>
  <c r="AL20" i="1" s="1"/>
  <c r="AO20" i="1" s="1"/>
  <c r="AP18" i="1"/>
  <c r="AP19" i="1" s="1"/>
  <c r="C4" i="4" l="1"/>
  <c r="D4" i="4" s="1"/>
  <c r="P86" i="1"/>
  <c r="R162" i="1"/>
  <c r="S162" i="1" s="1"/>
  <c r="Q85" i="1"/>
  <c r="E6" i="6"/>
  <c r="F6" i="6"/>
  <c r="B16" i="4"/>
  <c r="AT15" i="1"/>
  <c r="P163" i="1"/>
  <c r="Q163" i="1" s="1"/>
  <c r="H86" i="1"/>
  <c r="K86" i="1" s="1"/>
  <c r="L17" i="1"/>
  <c r="P16" i="1"/>
  <c r="R16" i="1" s="1"/>
  <c r="T16" i="1" s="1"/>
  <c r="D7" i="6"/>
  <c r="Q15" i="1"/>
  <c r="R15" i="1"/>
  <c r="F87" i="1"/>
  <c r="P17" i="1" s="1"/>
  <c r="C8" i="6"/>
  <c r="AR16" i="1"/>
  <c r="R85" i="1"/>
  <c r="L85" i="1"/>
  <c r="X17" i="1"/>
  <c r="D18" i="1"/>
  <c r="F18" i="1" s="1"/>
  <c r="H18" i="1" s="1"/>
  <c r="K18" i="1" s="1"/>
  <c r="C18" i="5"/>
  <c r="E18" i="5" s="1"/>
  <c r="G18" i="5" s="1"/>
  <c r="D165" i="1"/>
  <c r="F165" i="1" s="1"/>
  <c r="H165" i="1" s="1"/>
  <c r="K165" i="1" s="1"/>
  <c r="L165" i="1" s="1"/>
  <c r="D88" i="1"/>
  <c r="K17" i="5"/>
  <c r="O17" i="5"/>
  <c r="Q17" i="5" s="1"/>
  <c r="N17" i="5"/>
  <c r="P16" i="5"/>
  <c r="D19" i="1"/>
  <c r="F19" i="1" s="1"/>
  <c r="H19" i="1" s="1"/>
  <c r="K19" i="1" s="1"/>
  <c r="X18" i="1"/>
  <c r="AH22" i="1"/>
  <c r="AJ21" i="1"/>
  <c r="AL21" i="1" s="1"/>
  <c r="AP20" i="1"/>
  <c r="E14" i="2"/>
  <c r="L86" i="1" l="1"/>
  <c r="J7" i="6" s="1"/>
  <c r="J6" i="6"/>
  <c r="L6" i="6"/>
  <c r="M6" i="6"/>
  <c r="C5" i="4"/>
  <c r="D5" i="4" s="1"/>
  <c r="AR17" i="1"/>
  <c r="D8" i="6"/>
  <c r="P87" i="1"/>
  <c r="T162" i="1"/>
  <c r="R163" i="1"/>
  <c r="T163" i="1" s="1"/>
  <c r="S85" i="1"/>
  <c r="H6" i="6"/>
  <c r="R86" i="1"/>
  <c r="H7" i="6" s="1"/>
  <c r="E7" i="6"/>
  <c r="F8" i="6"/>
  <c r="F7" i="6"/>
  <c r="Q86" i="1"/>
  <c r="T85" i="1"/>
  <c r="K6" i="6" s="1"/>
  <c r="B17" i="4"/>
  <c r="AV15" i="1"/>
  <c r="AU15" i="1"/>
  <c r="L18" i="1"/>
  <c r="L19" i="1" s="1"/>
  <c r="H87" i="1"/>
  <c r="K87" i="1" s="1"/>
  <c r="P164" i="1"/>
  <c r="Q164" i="1" s="1"/>
  <c r="Q16" i="1"/>
  <c r="Q17" i="1" s="1"/>
  <c r="S15" i="1"/>
  <c r="S16" i="1" s="1"/>
  <c r="T15" i="1"/>
  <c r="F88" i="1"/>
  <c r="C9" i="6"/>
  <c r="AT16" i="1"/>
  <c r="AS16" i="1"/>
  <c r="M18" i="5"/>
  <c r="N18" i="5" s="1"/>
  <c r="C19" i="5"/>
  <c r="E19" i="5" s="1"/>
  <c r="M19" i="5" s="1"/>
  <c r="P165" i="1"/>
  <c r="R165" i="1" s="1"/>
  <c r="T165" i="1" s="1"/>
  <c r="D89" i="1"/>
  <c r="D166" i="1"/>
  <c r="F166" i="1" s="1"/>
  <c r="H166" i="1" s="1"/>
  <c r="K166" i="1" s="1"/>
  <c r="L166" i="1" s="1"/>
  <c r="P17" i="5"/>
  <c r="J18" i="5"/>
  <c r="D20" i="1"/>
  <c r="F20" i="1" s="1"/>
  <c r="H20" i="1" s="1"/>
  <c r="K20" i="1" s="1"/>
  <c r="R17" i="1"/>
  <c r="X19" i="1"/>
  <c r="AT17" i="1"/>
  <c r="AO21" i="1"/>
  <c r="AP21" i="1" s="1"/>
  <c r="AH23" i="1"/>
  <c r="AJ22" i="1"/>
  <c r="AL22" i="1" s="1"/>
  <c r="AO22" i="1" s="1"/>
  <c r="E15" i="2"/>
  <c r="L7" i="6" l="1"/>
  <c r="M7" i="6"/>
  <c r="L8" i="6"/>
  <c r="M8" i="6"/>
  <c r="AS17" i="1"/>
  <c r="AR18" i="1"/>
  <c r="AT18" i="1" s="1"/>
  <c r="AV18" i="1" s="1"/>
  <c r="P88" i="1"/>
  <c r="S163" i="1"/>
  <c r="R164" i="1"/>
  <c r="T164" i="1" s="1"/>
  <c r="T86" i="1"/>
  <c r="K7" i="6" s="1"/>
  <c r="R87" i="1"/>
  <c r="T87" i="1" s="1"/>
  <c r="K8" i="6" s="1"/>
  <c r="E8" i="6"/>
  <c r="S86" i="1"/>
  <c r="I7" i="6" s="1"/>
  <c r="I6" i="6"/>
  <c r="B18" i="4"/>
  <c r="Q87" i="1"/>
  <c r="L87" i="1"/>
  <c r="J8" i="6" s="1"/>
  <c r="L20" i="1"/>
  <c r="H88" i="1"/>
  <c r="K88" i="1" s="1"/>
  <c r="P18" i="1"/>
  <c r="R18" i="1" s="1"/>
  <c r="T18" i="1" s="1"/>
  <c r="D9" i="6"/>
  <c r="C6" i="4"/>
  <c r="D6" i="4" s="1"/>
  <c r="F89" i="1"/>
  <c r="C10" i="6"/>
  <c r="AV16" i="1"/>
  <c r="AU16" i="1"/>
  <c r="AU17" i="1" s="1"/>
  <c r="O18" i="5"/>
  <c r="P18" i="5" s="1"/>
  <c r="G19" i="5"/>
  <c r="J19" i="5" s="1"/>
  <c r="P19" i="1"/>
  <c r="R19" i="1" s="1"/>
  <c r="T19" i="1" s="1"/>
  <c r="C20" i="5"/>
  <c r="E20" i="5" s="1"/>
  <c r="G20" i="5" s="1"/>
  <c r="J20" i="5" s="1"/>
  <c r="D90" i="1"/>
  <c r="Q165" i="1"/>
  <c r="D167" i="1"/>
  <c r="F167" i="1" s="1"/>
  <c r="H167" i="1" s="1"/>
  <c r="K167" i="1" s="1"/>
  <c r="L167" i="1" s="1"/>
  <c r="O19" i="5"/>
  <c r="N19" i="5"/>
  <c r="K18" i="5"/>
  <c r="D21" i="1"/>
  <c r="F21" i="1" s="1"/>
  <c r="H21" i="1" s="1"/>
  <c r="K21" i="1" s="1"/>
  <c r="AV17" i="1"/>
  <c r="T17" i="1"/>
  <c r="S17" i="1"/>
  <c r="X20" i="1"/>
  <c r="AH24" i="1"/>
  <c r="AJ23" i="1"/>
  <c r="AL23" i="1" s="1"/>
  <c r="AO23" i="1" s="1"/>
  <c r="AP22" i="1"/>
  <c r="E16" i="2"/>
  <c r="Q18" i="1" l="1"/>
  <c r="Q19" i="1" s="1"/>
  <c r="C7" i="4"/>
  <c r="D7" i="4" s="1"/>
  <c r="P89" i="1"/>
  <c r="E10" i="6" s="1"/>
  <c r="AU18" i="1"/>
  <c r="AS18" i="1"/>
  <c r="S164" i="1"/>
  <c r="S165" i="1" s="1"/>
  <c r="R88" i="1"/>
  <c r="T88" i="1" s="1"/>
  <c r="K9" i="6" s="1"/>
  <c r="E9" i="6"/>
  <c r="R89" i="1"/>
  <c r="H10" i="6" s="1"/>
  <c r="S87" i="1"/>
  <c r="I8" i="6" s="1"/>
  <c r="H8" i="6"/>
  <c r="F9" i="6"/>
  <c r="B19" i="4"/>
  <c r="L21" i="1"/>
  <c r="S18" i="1"/>
  <c r="S19" i="1" s="1"/>
  <c r="Q88" i="1"/>
  <c r="P166" i="1"/>
  <c r="R166" i="1" s="1"/>
  <c r="T166" i="1" s="1"/>
  <c r="D10" i="6"/>
  <c r="AR19" i="1"/>
  <c r="AT19" i="1" s="1"/>
  <c r="AV19" i="1" s="1"/>
  <c r="H89" i="1"/>
  <c r="K89" i="1" s="1"/>
  <c r="F90" i="1"/>
  <c r="C11" i="6"/>
  <c r="K19" i="5"/>
  <c r="K20" i="5" s="1"/>
  <c r="D91" i="1"/>
  <c r="Q18" i="5"/>
  <c r="L88" i="1"/>
  <c r="M20" i="5"/>
  <c r="O20" i="5" s="1"/>
  <c r="Q20" i="5" s="1"/>
  <c r="C21" i="5"/>
  <c r="E21" i="5" s="1"/>
  <c r="G21" i="5" s="1"/>
  <c r="J21" i="5" s="1"/>
  <c r="D168" i="1"/>
  <c r="F168" i="1" s="1"/>
  <c r="H168" i="1" s="1"/>
  <c r="K168" i="1" s="1"/>
  <c r="L168" i="1" s="1"/>
  <c r="Q19" i="5"/>
  <c r="P19" i="5"/>
  <c r="D22" i="1"/>
  <c r="F22" i="1" s="1"/>
  <c r="H22" i="1" s="1"/>
  <c r="K22" i="1" s="1"/>
  <c r="X21" i="1"/>
  <c r="AH25" i="1"/>
  <c r="AJ24" i="1"/>
  <c r="AL24" i="1" s="1"/>
  <c r="AO24" i="1" s="1"/>
  <c r="AP23" i="1"/>
  <c r="E17" i="2"/>
  <c r="L89" i="1" l="1"/>
  <c r="J10" i="6" s="1"/>
  <c r="J9" i="6"/>
  <c r="L9" i="6"/>
  <c r="M9" i="6"/>
  <c r="Q89" i="1"/>
  <c r="C8" i="4"/>
  <c r="D8" i="4" s="1"/>
  <c r="P90" i="1"/>
  <c r="Q90" i="1" s="1"/>
  <c r="S166" i="1"/>
  <c r="T89" i="1"/>
  <c r="K10" i="6" s="1"/>
  <c r="S88" i="1"/>
  <c r="H9" i="6"/>
  <c r="F10" i="6"/>
  <c r="AS19" i="1"/>
  <c r="M21" i="5"/>
  <c r="O21" i="5" s="1"/>
  <c r="Q21" i="5" s="1"/>
  <c r="B20" i="4"/>
  <c r="P167" i="1"/>
  <c r="R167" i="1" s="1"/>
  <c r="T167" i="1" s="1"/>
  <c r="L22" i="1"/>
  <c r="Q166" i="1"/>
  <c r="P20" i="1"/>
  <c r="R20" i="1" s="1"/>
  <c r="T20" i="1" s="1"/>
  <c r="D11" i="6"/>
  <c r="AR20" i="1"/>
  <c r="AT20" i="1" s="1"/>
  <c r="H90" i="1"/>
  <c r="K90" i="1" s="1"/>
  <c r="AU19" i="1"/>
  <c r="F91" i="1"/>
  <c r="C12" i="6"/>
  <c r="H91" i="1"/>
  <c r="K91" i="1" s="1"/>
  <c r="D92" i="1"/>
  <c r="D93" i="1" s="1"/>
  <c r="N20" i="5"/>
  <c r="C22" i="5"/>
  <c r="E22" i="5" s="1"/>
  <c r="G22" i="5" s="1"/>
  <c r="J22" i="5" s="1"/>
  <c r="D169" i="1"/>
  <c r="F169" i="1" s="1"/>
  <c r="H169" i="1" s="1"/>
  <c r="K169" i="1" s="1"/>
  <c r="L169" i="1" s="1"/>
  <c r="P20" i="5"/>
  <c r="K21" i="5"/>
  <c r="D23" i="1"/>
  <c r="F23" i="1" s="1"/>
  <c r="H23" i="1" s="1"/>
  <c r="K23" i="1" s="1"/>
  <c r="X22" i="1"/>
  <c r="AH26" i="1"/>
  <c r="AJ25" i="1"/>
  <c r="AL25" i="1" s="1"/>
  <c r="AO25" i="1" s="1"/>
  <c r="AP24" i="1"/>
  <c r="E18" i="2"/>
  <c r="L90" i="1" l="1"/>
  <c r="J11" i="6" s="1"/>
  <c r="L10" i="6"/>
  <c r="M10" i="6"/>
  <c r="P21" i="1"/>
  <c r="R21" i="1" s="1"/>
  <c r="T21" i="1" s="1"/>
  <c r="P91" i="1"/>
  <c r="R90" i="1"/>
  <c r="T90" i="1" s="1"/>
  <c r="K11" i="6" s="1"/>
  <c r="E11" i="6"/>
  <c r="I9" i="6"/>
  <c r="S89" i="1"/>
  <c r="I10" i="6" s="1"/>
  <c r="F11" i="6"/>
  <c r="Q167" i="1"/>
  <c r="N21" i="5"/>
  <c r="B21" i="4"/>
  <c r="L23" i="1"/>
  <c r="S20" i="1"/>
  <c r="Q20" i="1"/>
  <c r="Q21" i="1" s="1"/>
  <c r="AU20" i="1"/>
  <c r="AV20" i="1"/>
  <c r="AS20" i="1"/>
  <c r="AR21" i="1"/>
  <c r="AT21" i="1" s="1"/>
  <c r="AV21" i="1" s="1"/>
  <c r="D12" i="6"/>
  <c r="C9" i="4"/>
  <c r="D9" i="4" s="1"/>
  <c r="F93" i="1"/>
  <c r="C14" i="6"/>
  <c r="F92" i="1"/>
  <c r="C13" i="6"/>
  <c r="P168" i="1"/>
  <c r="M22" i="5"/>
  <c r="O22" i="5" s="1"/>
  <c r="Q22" i="5" s="1"/>
  <c r="S167" i="1"/>
  <c r="D170" i="1"/>
  <c r="F170" i="1" s="1"/>
  <c r="H170" i="1" s="1"/>
  <c r="K170" i="1" s="1"/>
  <c r="L170" i="1" s="1"/>
  <c r="C23" i="5"/>
  <c r="E23" i="5" s="1"/>
  <c r="G23" i="5" s="1"/>
  <c r="J23" i="5" s="1"/>
  <c r="K22" i="5"/>
  <c r="D94" i="1"/>
  <c r="P21" i="5"/>
  <c r="D24" i="1"/>
  <c r="F24" i="1" s="1"/>
  <c r="H24" i="1" s="1"/>
  <c r="K24" i="1" s="1"/>
  <c r="X23" i="1"/>
  <c r="AR23" i="1"/>
  <c r="AT23" i="1" s="1"/>
  <c r="AH27" i="1"/>
  <c r="AJ26" i="1"/>
  <c r="AL26" i="1" s="1"/>
  <c r="AO26" i="1" s="1"/>
  <c r="AP25" i="1"/>
  <c r="C11" i="4"/>
  <c r="D11" i="4" s="1"/>
  <c r="E19" i="2"/>
  <c r="L91" i="1" l="1"/>
  <c r="J12" i="6" s="1"/>
  <c r="L11" i="6"/>
  <c r="M11" i="6"/>
  <c r="S21" i="1"/>
  <c r="D13" i="6"/>
  <c r="P92" i="1"/>
  <c r="D14" i="6"/>
  <c r="F14" i="6" s="1"/>
  <c r="P93" i="1"/>
  <c r="R91" i="1"/>
  <c r="T91" i="1" s="1"/>
  <c r="K12" i="6" s="1"/>
  <c r="E12" i="6"/>
  <c r="S90" i="1"/>
  <c r="I11" i="6" s="1"/>
  <c r="H11" i="6"/>
  <c r="F13" i="6"/>
  <c r="F12" i="6"/>
  <c r="L24" i="1"/>
  <c r="P23" i="1"/>
  <c r="R23" i="1" s="1"/>
  <c r="T23" i="1" s="1"/>
  <c r="B22" i="4"/>
  <c r="H93" i="1"/>
  <c r="K93" i="1" s="1"/>
  <c r="AS21" i="1"/>
  <c r="AU21" i="1"/>
  <c r="C10" i="4"/>
  <c r="D10" i="4" s="1"/>
  <c r="P170" i="1"/>
  <c r="R170" i="1" s="1"/>
  <c r="T170" i="1" s="1"/>
  <c r="AR22" i="1"/>
  <c r="AT22" i="1" s="1"/>
  <c r="AV22" i="1" s="1"/>
  <c r="H92" i="1"/>
  <c r="K92" i="1" s="1"/>
  <c r="C5" i="3"/>
  <c r="C15" i="6"/>
  <c r="R168" i="1"/>
  <c r="T168" i="1" s="1"/>
  <c r="Q168" i="1"/>
  <c r="P22" i="1"/>
  <c r="P169" i="1"/>
  <c r="Q91" i="1"/>
  <c r="N22" i="5"/>
  <c r="D171" i="1"/>
  <c r="F171" i="1" s="1"/>
  <c r="H171" i="1" s="1"/>
  <c r="K171" i="1" s="1"/>
  <c r="L171" i="1" s="1"/>
  <c r="K23" i="5"/>
  <c r="M23" i="5"/>
  <c r="C24" i="5"/>
  <c r="E24" i="5" s="1"/>
  <c r="M24" i="5" s="1"/>
  <c r="D95" i="1"/>
  <c r="P22" i="5"/>
  <c r="D25" i="1"/>
  <c r="F25" i="1" s="1"/>
  <c r="H25" i="1" s="1"/>
  <c r="K25" i="1" s="1"/>
  <c r="AV23" i="1"/>
  <c r="X24" i="1"/>
  <c r="AH28" i="1"/>
  <c r="AJ27" i="1"/>
  <c r="AL27" i="1" s="1"/>
  <c r="AO27" i="1" s="1"/>
  <c r="AP26" i="1"/>
  <c r="F94" i="1"/>
  <c r="E20" i="2"/>
  <c r="L92" i="1" l="1"/>
  <c r="J13" i="6" s="1"/>
  <c r="L13" i="6"/>
  <c r="M13" i="6"/>
  <c r="L14" i="6"/>
  <c r="M14" i="6"/>
  <c r="L12" i="6"/>
  <c r="M12" i="6"/>
  <c r="C25" i="5"/>
  <c r="E25" i="5" s="1"/>
  <c r="G25" i="5" s="1"/>
  <c r="J25" i="5" s="1"/>
  <c r="Q92" i="1"/>
  <c r="Q93" i="1" s="1"/>
  <c r="L25" i="1"/>
  <c r="D15" i="6"/>
  <c r="P94" i="1"/>
  <c r="R93" i="1"/>
  <c r="E14" i="6"/>
  <c r="R92" i="1"/>
  <c r="H13" i="6" s="1"/>
  <c r="E13" i="6"/>
  <c r="S91" i="1"/>
  <c r="I12" i="6" s="1"/>
  <c r="H12" i="6"/>
  <c r="F15" i="6"/>
  <c r="B23" i="4"/>
  <c r="L93" i="1"/>
  <c r="J14" i="6" s="1"/>
  <c r="AS22" i="1"/>
  <c r="AS23" i="1" s="1"/>
  <c r="AU22" i="1"/>
  <c r="AU23" i="1" s="1"/>
  <c r="N23" i="5"/>
  <c r="N24" i="5" s="1"/>
  <c r="F95" i="1"/>
  <c r="C16" i="6"/>
  <c r="Q169" i="1"/>
  <c r="Q170" i="1" s="1"/>
  <c r="R169" i="1"/>
  <c r="T169" i="1" s="1"/>
  <c r="Q22" i="1"/>
  <c r="Q23" i="1" s="1"/>
  <c r="R22" i="1"/>
  <c r="S168" i="1"/>
  <c r="D172" i="1"/>
  <c r="F172" i="1" s="1"/>
  <c r="H172" i="1" s="1"/>
  <c r="K172" i="1" s="1"/>
  <c r="L172" i="1" s="1"/>
  <c r="G24" i="5"/>
  <c r="J24" i="5" s="1"/>
  <c r="K24" i="5" s="1"/>
  <c r="O23" i="5"/>
  <c r="Q23" i="5" s="1"/>
  <c r="O24" i="5"/>
  <c r="D96" i="1"/>
  <c r="D26" i="1"/>
  <c r="F26" i="1" s="1"/>
  <c r="H26" i="1" s="1"/>
  <c r="K26" i="1" s="1"/>
  <c r="P24" i="1"/>
  <c r="X25" i="1"/>
  <c r="AR24" i="1"/>
  <c r="AT24" i="1" s="1"/>
  <c r="AV24" i="1" s="1"/>
  <c r="P171" i="1"/>
  <c r="AH29" i="1"/>
  <c r="AJ28" i="1"/>
  <c r="AL28" i="1" s="1"/>
  <c r="AO28" i="1" s="1"/>
  <c r="AP27" i="1"/>
  <c r="C12" i="4"/>
  <c r="D12" i="4" s="1"/>
  <c r="D5" i="3"/>
  <c r="H94" i="1"/>
  <c r="E5" i="3" s="1"/>
  <c r="E21" i="2"/>
  <c r="Q24" i="5" l="1"/>
  <c r="L15" i="6"/>
  <c r="M15" i="6"/>
  <c r="L26" i="1"/>
  <c r="M25" i="5"/>
  <c r="N25" i="5" s="1"/>
  <c r="C26" i="5"/>
  <c r="E26" i="5" s="1"/>
  <c r="M26" i="5" s="1"/>
  <c r="D16" i="6"/>
  <c r="F16" i="6" s="1"/>
  <c r="P95" i="1"/>
  <c r="C13" i="4"/>
  <c r="D13" i="4" s="1"/>
  <c r="AR25" i="1"/>
  <c r="AT25" i="1" s="1"/>
  <c r="AV25" i="1" s="1"/>
  <c r="P25" i="1"/>
  <c r="R25" i="1" s="1"/>
  <c r="T25" i="1" s="1"/>
  <c r="S92" i="1"/>
  <c r="I13" i="6" s="1"/>
  <c r="T92" i="1"/>
  <c r="K13" i="6" s="1"/>
  <c r="I5" i="3"/>
  <c r="E15" i="6"/>
  <c r="T93" i="1"/>
  <c r="K14" i="6" s="1"/>
  <c r="H14" i="6"/>
  <c r="B24" i="4"/>
  <c r="H95" i="1"/>
  <c r="K95" i="1" s="1"/>
  <c r="P172" i="1"/>
  <c r="R172" i="1" s="1"/>
  <c r="T172" i="1" s="1"/>
  <c r="S169" i="1"/>
  <c r="S170" i="1" s="1"/>
  <c r="F96" i="1"/>
  <c r="C17" i="6"/>
  <c r="T22" i="1"/>
  <c r="S22" i="1"/>
  <c r="S23" i="1" s="1"/>
  <c r="D173" i="1"/>
  <c r="F173" i="1" s="1"/>
  <c r="H173" i="1" s="1"/>
  <c r="K173" i="1" s="1"/>
  <c r="K25" i="5"/>
  <c r="P23" i="5"/>
  <c r="P24" i="5" s="1"/>
  <c r="D97" i="1"/>
  <c r="C27" i="5"/>
  <c r="E27" i="5" s="1"/>
  <c r="O25" i="5"/>
  <c r="Q25" i="5" s="1"/>
  <c r="G26" i="5"/>
  <c r="J26" i="5" s="1"/>
  <c r="D27" i="1"/>
  <c r="F27" i="1" s="1"/>
  <c r="H27" i="1" s="1"/>
  <c r="K27" i="1" s="1"/>
  <c r="L173" i="1"/>
  <c r="AU24" i="1"/>
  <c r="R24" i="1"/>
  <c r="Q24" i="1"/>
  <c r="X26" i="1"/>
  <c r="R171" i="1"/>
  <c r="Q171" i="1"/>
  <c r="AS24" i="1"/>
  <c r="AH30" i="1"/>
  <c r="AJ29" i="1"/>
  <c r="AL29" i="1" s="1"/>
  <c r="AO29" i="1" s="1"/>
  <c r="AP28" i="1"/>
  <c r="Q94" i="1"/>
  <c r="R94" i="1"/>
  <c r="H15" i="6" s="1"/>
  <c r="K94" i="1"/>
  <c r="F5" i="3" s="1"/>
  <c r="E22" i="2"/>
  <c r="L27" i="1" l="1"/>
  <c r="L16" i="6"/>
  <c r="M16" i="6"/>
  <c r="S93" i="1"/>
  <c r="I14" i="6" s="1"/>
  <c r="D17" i="6"/>
  <c r="F17" i="6" s="1"/>
  <c r="P96" i="1"/>
  <c r="E17" i="6" s="1"/>
  <c r="AR26" i="1"/>
  <c r="AT26" i="1" s="1"/>
  <c r="AV26" i="1" s="1"/>
  <c r="P26" i="1"/>
  <c r="R26" i="1" s="1"/>
  <c r="T26" i="1" s="1"/>
  <c r="AU25" i="1"/>
  <c r="AU26" i="1" s="1"/>
  <c r="Q25" i="1"/>
  <c r="AS25" i="1"/>
  <c r="AS26" i="1" s="1"/>
  <c r="R96" i="1"/>
  <c r="H17" i="6" s="1"/>
  <c r="R95" i="1"/>
  <c r="H16" i="6" s="1"/>
  <c r="E16" i="6"/>
  <c r="B25" i="4"/>
  <c r="H96" i="1"/>
  <c r="K96" i="1" s="1"/>
  <c r="Q172" i="1"/>
  <c r="D174" i="1"/>
  <c r="F174" i="1" s="1"/>
  <c r="H174" i="1" s="1"/>
  <c r="K174" i="1" s="1"/>
  <c r="L174" i="1" s="1"/>
  <c r="C14" i="4"/>
  <c r="D14" i="4" s="1"/>
  <c r="P173" i="1"/>
  <c r="R173" i="1" s="1"/>
  <c r="T173" i="1" s="1"/>
  <c r="F97" i="1"/>
  <c r="C18" i="6"/>
  <c r="K26" i="5"/>
  <c r="O26" i="5"/>
  <c r="Q26" i="5" s="1"/>
  <c r="N26" i="5"/>
  <c r="D98" i="1"/>
  <c r="C28" i="5"/>
  <c r="E28" i="5" s="1"/>
  <c r="M27" i="5"/>
  <c r="G27" i="5"/>
  <c r="J27" i="5" s="1"/>
  <c r="K27" i="5" s="1"/>
  <c r="P25" i="5"/>
  <c r="M12" i="4"/>
  <c r="J5" i="3"/>
  <c r="D28" i="1"/>
  <c r="F28" i="1" s="1"/>
  <c r="H28" i="1" s="1"/>
  <c r="K28" i="1" s="1"/>
  <c r="L28" i="1" s="1"/>
  <c r="T24" i="1"/>
  <c r="S24" i="1"/>
  <c r="S25" i="1" s="1"/>
  <c r="X27" i="1"/>
  <c r="S171" i="1"/>
  <c r="S172" i="1" s="1"/>
  <c r="T171" i="1"/>
  <c r="AH31" i="1"/>
  <c r="AJ30" i="1"/>
  <c r="AL30" i="1" s="1"/>
  <c r="AO30" i="1" s="1"/>
  <c r="AP29" i="1"/>
  <c r="S94" i="1"/>
  <c r="Q95" i="1"/>
  <c r="T94" i="1"/>
  <c r="L94" i="1"/>
  <c r="E23" i="2"/>
  <c r="G5" i="3" l="1"/>
  <c r="J15" i="6"/>
  <c r="L17" i="6"/>
  <c r="M17" i="6"/>
  <c r="Q96" i="1"/>
  <c r="S26" i="1"/>
  <c r="Q26" i="1"/>
  <c r="T95" i="1"/>
  <c r="K16" i="6" s="1"/>
  <c r="D18" i="6"/>
  <c r="F18" i="6" s="1"/>
  <c r="P97" i="1"/>
  <c r="M5" i="3"/>
  <c r="K15" i="6"/>
  <c r="T96" i="1"/>
  <c r="K17" i="6" s="1"/>
  <c r="K5" i="3"/>
  <c r="I15" i="6"/>
  <c r="B26" i="4"/>
  <c r="D175" i="1"/>
  <c r="F175" i="1" s="1"/>
  <c r="H175" i="1" s="1"/>
  <c r="K175" i="1" s="1"/>
  <c r="L175" i="1" s="1"/>
  <c r="H97" i="1"/>
  <c r="K97" i="1" s="1"/>
  <c r="AR27" i="1"/>
  <c r="AT27" i="1" s="1"/>
  <c r="AV27" i="1" s="1"/>
  <c r="C15" i="4"/>
  <c r="D15" i="4" s="1"/>
  <c r="P174" i="1"/>
  <c r="R174" i="1" s="1"/>
  <c r="T174" i="1" s="1"/>
  <c r="P27" i="1"/>
  <c r="R27" i="1" s="1"/>
  <c r="T27" i="1" s="1"/>
  <c r="S173" i="1"/>
  <c r="Q173" i="1"/>
  <c r="F98" i="1"/>
  <c r="C19" i="6"/>
  <c r="O27" i="5"/>
  <c r="Q27" i="5" s="1"/>
  <c r="N27" i="5"/>
  <c r="D99" i="1"/>
  <c r="C29" i="5"/>
  <c r="E29" i="5" s="1"/>
  <c r="M28" i="5"/>
  <c r="G28" i="5"/>
  <c r="J28" i="5" s="1"/>
  <c r="K28" i="5" s="1"/>
  <c r="P26" i="5"/>
  <c r="D29" i="1"/>
  <c r="F29" i="1" s="1"/>
  <c r="H29" i="1" s="1"/>
  <c r="K29" i="1" s="1"/>
  <c r="L29" i="1" s="1"/>
  <c r="X28" i="1"/>
  <c r="AH32" i="1"/>
  <c r="AJ31" i="1"/>
  <c r="AL31" i="1" s="1"/>
  <c r="AO31" i="1" s="1"/>
  <c r="AP30" i="1"/>
  <c r="S95" i="1"/>
  <c r="L95" i="1"/>
  <c r="E24" i="2"/>
  <c r="L96" i="1" l="1"/>
  <c r="J17" i="6" s="1"/>
  <c r="J16" i="6"/>
  <c r="S174" i="1"/>
  <c r="L18" i="6"/>
  <c r="M18" i="6"/>
  <c r="Q97" i="1"/>
  <c r="D19" i="6"/>
  <c r="P98" i="1"/>
  <c r="R97" i="1"/>
  <c r="H18" i="6" s="1"/>
  <c r="E18" i="6"/>
  <c r="S96" i="1"/>
  <c r="I17" i="6" s="1"/>
  <c r="I16" i="6"/>
  <c r="F19" i="6"/>
  <c r="B27" i="4"/>
  <c r="S97" i="1"/>
  <c r="I18" i="6" s="1"/>
  <c r="D176" i="1"/>
  <c r="F176" i="1" s="1"/>
  <c r="H176" i="1" s="1"/>
  <c r="K176" i="1" s="1"/>
  <c r="L176" i="1" s="1"/>
  <c r="AU27" i="1"/>
  <c r="P28" i="1"/>
  <c r="R28" i="1" s="1"/>
  <c r="T28" i="1" s="1"/>
  <c r="AS27" i="1"/>
  <c r="Q174" i="1"/>
  <c r="L97" i="1"/>
  <c r="J18" i="6" s="1"/>
  <c r="Q27" i="1"/>
  <c r="Q28" i="1" s="1"/>
  <c r="S27" i="1"/>
  <c r="C16" i="4"/>
  <c r="D16" i="4" s="1"/>
  <c r="P175" i="1"/>
  <c r="R175" i="1" s="1"/>
  <c r="T175" i="1" s="1"/>
  <c r="H98" i="1"/>
  <c r="K98" i="1" s="1"/>
  <c r="AR28" i="1"/>
  <c r="AT28" i="1" s="1"/>
  <c r="AV28" i="1" s="1"/>
  <c r="F99" i="1"/>
  <c r="C20" i="6"/>
  <c r="O28" i="5"/>
  <c r="Q28" i="5" s="1"/>
  <c r="N28" i="5"/>
  <c r="D100" i="1"/>
  <c r="C30" i="5"/>
  <c r="E30" i="5" s="1"/>
  <c r="M29" i="5"/>
  <c r="G29" i="5"/>
  <c r="J29" i="5" s="1"/>
  <c r="K29" i="5" s="1"/>
  <c r="P27" i="5"/>
  <c r="D30" i="1"/>
  <c r="F30" i="1" s="1"/>
  <c r="H30" i="1" s="1"/>
  <c r="K30" i="1" s="1"/>
  <c r="L30" i="1" s="1"/>
  <c r="P29" i="1"/>
  <c r="R29" i="1" s="1"/>
  <c r="T29" i="1" s="1"/>
  <c r="X29" i="1"/>
  <c r="AH33" i="1"/>
  <c r="AJ32" i="1"/>
  <c r="AL32" i="1" s="1"/>
  <c r="AO32" i="1" s="1"/>
  <c r="AP31" i="1"/>
  <c r="E25" i="2"/>
  <c r="L19" i="6" l="1"/>
  <c r="M19" i="6"/>
  <c r="D20" i="6"/>
  <c r="F20" i="6" s="1"/>
  <c r="P99" i="1"/>
  <c r="R98" i="1"/>
  <c r="T98" i="1" s="1"/>
  <c r="K19" i="6" s="1"/>
  <c r="E19" i="6"/>
  <c r="T97" i="1"/>
  <c r="K18" i="6" s="1"/>
  <c r="B28" i="4"/>
  <c r="D177" i="1"/>
  <c r="F177" i="1" s="1"/>
  <c r="H177" i="1" s="1"/>
  <c r="K177" i="1" s="1"/>
  <c r="L177" i="1" s="1"/>
  <c r="Q175" i="1"/>
  <c r="AS28" i="1"/>
  <c r="S28" i="1"/>
  <c r="S29" i="1" s="1"/>
  <c r="AR29" i="1"/>
  <c r="AT29" i="1" s="1"/>
  <c r="AV29" i="1" s="1"/>
  <c r="S175" i="1"/>
  <c r="L98" i="1"/>
  <c r="J19" i="6" s="1"/>
  <c r="AU28" i="1"/>
  <c r="H99" i="1"/>
  <c r="K99" i="1" s="1"/>
  <c r="C17" i="4"/>
  <c r="D17" i="4" s="1"/>
  <c r="Q98" i="1"/>
  <c r="P176" i="1"/>
  <c r="R176" i="1" s="1"/>
  <c r="T176" i="1" s="1"/>
  <c r="F100" i="1"/>
  <c r="C21" i="6"/>
  <c r="O29" i="5"/>
  <c r="Q29" i="5" s="1"/>
  <c r="N29" i="5"/>
  <c r="D101" i="1"/>
  <c r="C31" i="5"/>
  <c r="E31" i="5" s="1"/>
  <c r="M30" i="5"/>
  <c r="G30" i="5"/>
  <c r="J30" i="5" s="1"/>
  <c r="K30" i="5" s="1"/>
  <c r="P28" i="5"/>
  <c r="D31" i="1"/>
  <c r="F31" i="1" s="1"/>
  <c r="H31" i="1" s="1"/>
  <c r="K31" i="1" s="1"/>
  <c r="L31" i="1" s="1"/>
  <c r="Q29" i="1"/>
  <c r="X30" i="1"/>
  <c r="AS29" i="1"/>
  <c r="AH34" i="1"/>
  <c r="AJ33" i="1"/>
  <c r="AL33" i="1" s="1"/>
  <c r="AO33" i="1" s="1"/>
  <c r="AP32" i="1"/>
  <c r="E26" i="2"/>
  <c r="L20" i="6" l="1"/>
  <c r="M20" i="6"/>
  <c r="Q99" i="1"/>
  <c r="D21" i="6"/>
  <c r="P100" i="1"/>
  <c r="R99" i="1"/>
  <c r="T99" i="1" s="1"/>
  <c r="K20" i="6" s="1"/>
  <c r="E20" i="6"/>
  <c r="S98" i="1"/>
  <c r="I19" i="6" s="1"/>
  <c r="H19" i="6"/>
  <c r="F21" i="6"/>
  <c r="B29" i="4"/>
  <c r="D178" i="1"/>
  <c r="F178" i="1" s="1"/>
  <c r="H178" i="1" s="1"/>
  <c r="K178" i="1" s="1"/>
  <c r="L178" i="1" s="1"/>
  <c r="AR30" i="1"/>
  <c r="AT30" i="1" s="1"/>
  <c r="AV30" i="1" s="1"/>
  <c r="AU29" i="1"/>
  <c r="L99" i="1"/>
  <c r="J20" i="6" s="1"/>
  <c r="C18" i="4"/>
  <c r="D18" i="4" s="1"/>
  <c r="S176" i="1"/>
  <c r="H100" i="1"/>
  <c r="K100" i="1" s="1"/>
  <c r="P177" i="1"/>
  <c r="R177" i="1" s="1"/>
  <c r="T177" i="1" s="1"/>
  <c r="P30" i="1"/>
  <c r="R30" i="1" s="1"/>
  <c r="T30" i="1" s="1"/>
  <c r="Q176" i="1"/>
  <c r="F101" i="1"/>
  <c r="C22" i="6"/>
  <c r="D102" i="1"/>
  <c r="C32" i="5"/>
  <c r="E32" i="5" s="1"/>
  <c r="O30" i="5"/>
  <c r="Q30" i="5" s="1"/>
  <c r="N30" i="5"/>
  <c r="M31" i="5"/>
  <c r="G31" i="5"/>
  <c r="J31" i="5" s="1"/>
  <c r="K31" i="5" s="1"/>
  <c r="P29" i="5"/>
  <c r="D32" i="1"/>
  <c r="F32" i="1" s="1"/>
  <c r="H32" i="1" s="1"/>
  <c r="K32" i="1" s="1"/>
  <c r="L32" i="1" s="1"/>
  <c r="X31" i="1"/>
  <c r="AH35" i="1"/>
  <c r="AJ34" i="1"/>
  <c r="AL34" i="1" s="1"/>
  <c r="AO34" i="1" s="1"/>
  <c r="AP33" i="1"/>
  <c r="E27" i="2"/>
  <c r="Q177" i="1" l="1"/>
  <c r="L21" i="6"/>
  <c r="M21" i="6"/>
  <c r="D22" i="6"/>
  <c r="F22" i="6" s="1"/>
  <c r="P101" i="1"/>
  <c r="D179" i="1"/>
  <c r="F179" i="1" s="1"/>
  <c r="H179" i="1" s="1"/>
  <c r="K179" i="1" s="1"/>
  <c r="L179" i="1" s="1"/>
  <c r="R100" i="1"/>
  <c r="T100" i="1" s="1"/>
  <c r="K21" i="6" s="1"/>
  <c r="E21" i="6"/>
  <c r="S99" i="1"/>
  <c r="I20" i="6" s="1"/>
  <c r="H20" i="6"/>
  <c r="B30" i="4"/>
  <c r="C19" i="4"/>
  <c r="D19" i="4" s="1"/>
  <c r="AS30" i="1"/>
  <c r="AU30" i="1"/>
  <c r="L100" i="1"/>
  <c r="J21" i="6" s="1"/>
  <c r="S177" i="1"/>
  <c r="AR31" i="1"/>
  <c r="AT31" i="1" s="1"/>
  <c r="AV31" i="1" s="1"/>
  <c r="H101" i="1"/>
  <c r="K101" i="1" s="1"/>
  <c r="Q100" i="1"/>
  <c r="P31" i="1"/>
  <c r="R31" i="1" s="1"/>
  <c r="T31" i="1" s="1"/>
  <c r="P178" i="1"/>
  <c r="R178" i="1" s="1"/>
  <c r="T178" i="1" s="1"/>
  <c r="Q30" i="1"/>
  <c r="S30" i="1"/>
  <c r="F102" i="1"/>
  <c r="C23" i="6"/>
  <c r="D103" i="1"/>
  <c r="C33" i="5"/>
  <c r="E33" i="5" s="1"/>
  <c r="O31" i="5"/>
  <c r="Q31" i="5" s="1"/>
  <c r="N31" i="5"/>
  <c r="M32" i="5"/>
  <c r="G32" i="5"/>
  <c r="J32" i="5" s="1"/>
  <c r="K32" i="5" s="1"/>
  <c r="P30" i="5"/>
  <c r="D33" i="1"/>
  <c r="F33" i="1" s="1"/>
  <c r="H33" i="1" s="1"/>
  <c r="K33" i="1" s="1"/>
  <c r="L33" i="1" s="1"/>
  <c r="X32" i="1"/>
  <c r="AH36" i="1"/>
  <c r="AJ35" i="1"/>
  <c r="AL35" i="1" s="1"/>
  <c r="AO35" i="1" s="1"/>
  <c r="AP34" i="1"/>
  <c r="E28" i="2"/>
  <c r="L22" i="6" l="1"/>
  <c r="M22" i="6"/>
  <c r="D180" i="1"/>
  <c r="F180" i="1" s="1"/>
  <c r="H180" i="1" s="1"/>
  <c r="K180" i="1" s="1"/>
  <c r="L180" i="1" s="1"/>
  <c r="D23" i="6"/>
  <c r="P102" i="1"/>
  <c r="S31" i="1"/>
  <c r="L101" i="1"/>
  <c r="J22" i="6" s="1"/>
  <c r="R101" i="1"/>
  <c r="E22" i="6"/>
  <c r="S100" i="1"/>
  <c r="I21" i="6" s="1"/>
  <c r="H21" i="6"/>
  <c r="F23" i="6"/>
  <c r="B31" i="4"/>
  <c r="AU31" i="1"/>
  <c r="Q101" i="1"/>
  <c r="AS31" i="1"/>
  <c r="Q178" i="1"/>
  <c r="S178" i="1"/>
  <c r="Q31" i="1"/>
  <c r="T101" i="1"/>
  <c r="K22" i="6" s="1"/>
  <c r="P179" i="1"/>
  <c r="R179" i="1" s="1"/>
  <c r="T179" i="1" s="1"/>
  <c r="H102" i="1"/>
  <c r="K102" i="1" s="1"/>
  <c r="C20" i="4"/>
  <c r="D20" i="4" s="1"/>
  <c r="AR32" i="1"/>
  <c r="AT32" i="1" s="1"/>
  <c r="AV32" i="1" s="1"/>
  <c r="P32" i="1"/>
  <c r="R32" i="1" s="1"/>
  <c r="T32" i="1" s="1"/>
  <c r="F103" i="1"/>
  <c r="C24" i="6"/>
  <c r="O32" i="5"/>
  <c r="Q32" i="5" s="1"/>
  <c r="N32" i="5"/>
  <c r="D104" i="1"/>
  <c r="C34" i="5"/>
  <c r="E34" i="5" s="1"/>
  <c r="M33" i="5"/>
  <c r="G33" i="5"/>
  <c r="J33" i="5" s="1"/>
  <c r="K33" i="5" s="1"/>
  <c r="P31" i="5"/>
  <c r="D34" i="1"/>
  <c r="F34" i="1" s="1"/>
  <c r="H34" i="1" s="1"/>
  <c r="K34" i="1" s="1"/>
  <c r="L34" i="1" s="1"/>
  <c r="X33" i="1"/>
  <c r="D181" i="1"/>
  <c r="F181" i="1" s="1"/>
  <c r="H181" i="1" s="1"/>
  <c r="K181" i="1" s="1"/>
  <c r="AH37" i="1"/>
  <c r="AJ36" i="1"/>
  <c r="AL36" i="1" s="1"/>
  <c r="AO36" i="1" s="1"/>
  <c r="AP35" i="1"/>
  <c r="E29" i="2"/>
  <c r="L23" i="6" l="1"/>
  <c r="M23" i="6"/>
  <c r="D24" i="6"/>
  <c r="F24" i="6" s="1"/>
  <c r="P103" i="1"/>
  <c r="S179" i="1"/>
  <c r="R102" i="1"/>
  <c r="E23" i="6"/>
  <c r="S101" i="1"/>
  <c r="I22" i="6" s="1"/>
  <c r="H22" i="6"/>
  <c r="B32" i="4"/>
  <c r="H103" i="1"/>
  <c r="K103" i="1" s="1"/>
  <c r="AR33" i="1"/>
  <c r="AT33" i="1" s="1"/>
  <c r="AV33" i="1" s="1"/>
  <c r="L102" i="1"/>
  <c r="J23" i="6" s="1"/>
  <c r="C21" i="4"/>
  <c r="D21" i="4" s="1"/>
  <c r="Q102" i="1"/>
  <c r="AS32" i="1"/>
  <c r="P180" i="1"/>
  <c r="R180" i="1" s="1"/>
  <c r="T180" i="1" s="1"/>
  <c r="P33" i="1"/>
  <c r="R33" i="1" s="1"/>
  <c r="T33" i="1" s="1"/>
  <c r="Q179" i="1"/>
  <c r="Q32" i="1"/>
  <c r="AU32" i="1"/>
  <c r="S32" i="1"/>
  <c r="S33" i="1" s="1"/>
  <c r="C6" i="3"/>
  <c r="C25" i="6"/>
  <c r="D105" i="1"/>
  <c r="C35" i="5"/>
  <c r="E35" i="5" s="1"/>
  <c r="O33" i="5"/>
  <c r="Q33" i="5" s="1"/>
  <c r="N33" i="5"/>
  <c r="M34" i="5"/>
  <c r="G34" i="5"/>
  <c r="J34" i="5" s="1"/>
  <c r="K34" i="5" s="1"/>
  <c r="P32" i="5"/>
  <c r="D35" i="1"/>
  <c r="F35" i="1" s="1"/>
  <c r="H35" i="1" s="1"/>
  <c r="K35" i="1" s="1"/>
  <c r="L35" i="1" s="1"/>
  <c r="L181" i="1"/>
  <c r="Q33" i="1"/>
  <c r="X34" i="1"/>
  <c r="D182" i="1"/>
  <c r="F182" i="1" s="1"/>
  <c r="H182" i="1" s="1"/>
  <c r="K182" i="1" s="1"/>
  <c r="AH38" i="1"/>
  <c r="AJ37" i="1"/>
  <c r="AL37" i="1" s="1"/>
  <c r="AO37" i="1" s="1"/>
  <c r="AP36" i="1"/>
  <c r="F104" i="1"/>
  <c r="E30" i="2"/>
  <c r="L24" i="6" l="1"/>
  <c r="M24" i="6"/>
  <c r="Q103" i="1"/>
  <c r="D25" i="6"/>
  <c r="F25" i="6" s="1"/>
  <c r="P104" i="1"/>
  <c r="S102" i="1"/>
  <c r="I23" i="6" s="1"/>
  <c r="H23" i="6"/>
  <c r="R103" i="1"/>
  <c r="T103" i="1" s="1"/>
  <c r="K24" i="6" s="1"/>
  <c r="E24" i="6"/>
  <c r="T102" i="1"/>
  <c r="K23" i="6" s="1"/>
  <c r="Q180" i="1"/>
  <c r="B33" i="4"/>
  <c r="L103" i="1"/>
  <c r="J24" i="6" s="1"/>
  <c r="AS33" i="1"/>
  <c r="AU33" i="1"/>
  <c r="S180" i="1"/>
  <c r="F105" i="1"/>
  <c r="C26" i="6"/>
  <c r="D106" i="1"/>
  <c r="C36" i="5"/>
  <c r="E36" i="5" s="1"/>
  <c r="O34" i="5"/>
  <c r="Q34" i="5" s="1"/>
  <c r="N34" i="5"/>
  <c r="M35" i="5"/>
  <c r="G35" i="5"/>
  <c r="J35" i="5" s="1"/>
  <c r="K35" i="5" s="1"/>
  <c r="P33" i="5"/>
  <c r="D36" i="1"/>
  <c r="F36" i="1" s="1"/>
  <c r="H36" i="1" s="1"/>
  <c r="K36" i="1" s="1"/>
  <c r="L36" i="1" s="1"/>
  <c r="P34" i="1"/>
  <c r="R34" i="1" s="1"/>
  <c r="T34" i="1" s="1"/>
  <c r="X35" i="1"/>
  <c r="D183" i="1"/>
  <c r="F183" i="1" s="1"/>
  <c r="H183" i="1" s="1"/>
  <c r="K183" i="1" s="1"/>
  <c r="AR34" i="1"/>
  <c r="AT34" i="1" s="1"/>
  <c r="AV34" i="1" s="1"/>
  <c r="P181" i="1"/>
  <c r="L182" i="1"/>
  <c r="AH39" i="1"/>
  <c r="AJ38" i="1"/>
  <c r="AL38" i="1" s="1"/>
  <c r="AO38" i="1" s="1"/>
  <c r="AP37" i="1"/>
  <c r="C22" i="4"/>
  <c r="D22" i="4" s="1"/>
  <c r="D6" i="3"/>
  <c r="H104" i="1"/>
  <c r="E6" i="3" s="1"/>
  <c r="E31" i="2"/>
  <c r="L25" i="6" l="1"/>
  <c r="M25" i="6"/>
  <c r="D26" i="6"/>
  <c r="P105" i="1"/>
  <c r="I6" i="3"/>
  <c r="E25" i="6"/>
  <c r="S103" i="1"/>
  <c r="I24" i="6" s="1"/>
  <c r="H24" i="6"/>
  <c r="F26" i="6"/>
  <c r="B34" i="4"/>
  <c r="H105" i="1"/>
  <c r="K105" i="1" s="1"/>
  <c r="AR35" i="1"/>
  <c r="AT35" i="1" s="1"/>
  <c r="AV35" i="1" s="1"/>
  <c r="C23" i="4"/>
  <c r="D23" i="4" s="1"/>
  <c r="P182" i="1"/>
  <c r="R182" i="1" s="1"/>
  <c r="T182" i="1" s="1"/>
  <c r="P35" i="1"/>
  <c r="R35" i="1" s="1"/>
  <c r="T35" i="1" s="1"/>
  <c r="F106" i="1"/>
  <c r="C27" i="6"/>
  <c r="D107" i="1"/>
  <c r="C37" i="5"/>
  <c r="E37" i="5" s="1"/>
  <c r="O35" i="5"/>
  <c r="Q35" i="5" s="1"/>
  <c r="N35" i="5"/>
  <c r="M36" i="5"/>
  <c r="G36" i="5"/>
  <c r="J36" i="5" s="1"/>
  <c r="K36" i="5" s="1"/>
  <c r="P34" i="5"/>
  <c r="L183" i="1"/>
  <c r="Q34" i="1"/>
  <c r="D37" i="1"/>
  <c r="F37" i="1" s="1"/>
  <c r="H37" i="1" s="1"/>
  <c r="K37" i="1" s="1"/>
  <c r="L37" i="1" s="1"/>
  <c r="S34" i="1"/>
  <c r="AU34" i="1"/>
  <c r="P183" i="1"/>
  <c r="R183" i="1" s="1"/>
  <c r="T183" i="1" s="1"/>
  <c r="X36" i="1"/>
  <c r="D184" i="1"/>
  <c r="F184" i="1" s="1"/>
  <c r="H184" i="1" s="1"/>
  <c r="K184" i="1" s="1"/>
  <c r="R181" i="1"/>
  <c r="Q181" i="1"/>
  <c r="Q182" i="1" s="1"/>
  <c r="Q183" i="1" s="1"/>
  <c r="AS34" i="1"/>
  <c r="AH40" i="1"/>
  <c r="AJ39" i="1"/>
  <c r="AL39" i="1" s="1"/>
  <c r="AO39" i="1" s="1"/>
  <c r="AP38" i="1"/>
  <c r="Q104" i="1"/>
  <c r="R104" i="1"/>
  <c r="H25" i="6" s="1"/>
  <c r="K104" i="1"/>
  <c r="F6" i="3" s="1"/>
  <c r="E32" i="2"/>
  <c r="L26" i="6" l="1"/>
  <c r="M26" i="6"/>
  <c r="D27" i="6"/>
  <c r="F27" i="6" s="1"/>
  <c r="P106" i="1"/>
  <c r="R106" i="1" s="1"/>
  <c r="H27" i="6" s="1"/>
  <c r="R105" i="1"/>
  <c r="H26" i="6" s="1"/>
  <c r="E26" i="6"/>
  <c r="B35" i="4"/>
  <c r="H106" i="1"/>
  <c r="K106" i="1" s="1"/>
  <c r="AS35" i="1"/>
  <c r="AU35" i="1"/>
  <c r="S35" i="1"/>
  <c r="Q35" i="1"/>
  <c r="C24" i="4"/>
  <c r="D24" i="4" s="1"/>
  <c r="AR36" i="1"/>
  <c r="AT36" i="1" s="1"/>
  <c r="AV36" i="1" s="1"/>
  <c r="P36" i="1"/>
  <c r="R36" i="1" s="1"/>
  <c r="T36" i="1" s="1"/>
  <c r="F107" i="1"/>
  <c r="C28" i="6"/>
  <c r="D108" i="1"/>
  <c r="C38" i="5"/>
  <c r="E38" i="5" s="1"/>
  <c r="O36" i="5"/>
  <c r="Q36" i="5" s="1"/>
  <c r="N36" i="5"/>
  <c r="M37" i="5"/>
  <c r="G37" i="5"/>
  <c r="J37" i="5" s="1"/>
  <c r="K37" i="5" s="1"/>
  <c r="P35" i="5"/>
  <c r="M22" i="4"/>
  <c r="J6" i="3"/>
  <c r="D38" i="1"/>
  <c r="F38" i="1" s="1"/>
  <c r="H38" i="1" s="1"/>
  <c r="K38" i="1" s="1"/>
  <c r="L38" i="1" s="1"/>
  <c r="P37" i="1"/>
  <c r="R37" i="1" s="1"/>
  <c r="T37" i="1" s="1"/>
  <c r="X37" i="1"/>
  <c r="D185" i="1"/>
  <c r="F185" i="1" s="1"/>
  <c r="H185" i="1" s="1"/>
  <c r="K185" i="1" s="1"/>
  <c r="T181" i="1"/>
  <c r="S181" i="1"/>
  <c r="S182" i="1" s="1"/>
  <c r="S183" i="1" s="1"/>
  <c r="L184" i="1"/>
  <c r="AH41" i="1"/>
  <c r="AJ40" i="1"/>
  <c r="AL40" i="1" s="1"/>
  <c r="AO40" i="1" s="1"/>
  <c r="AP39" i="1"/>
  <c r="S104" i="1"/>
  <c r="C25" i="4"/>
  <c r="D25" i="4" s="1"/>
  <c r="Q105" i="1"/>
  <c r="T104" i="1"/>
  <c r="L104" i="1"/>
  <c r="E33" i="2"/>
  <c r="G6" i="3" l="1"/>
  <c r="J25" i="6"/>
  <c r="L27" i="6"/>
  <c r="M27" i="6"/>
  <c r="T105" i="1"/>
  <c r="K26" i="6" s="1"/>
  <c r="E27" i="6"/>
  <c r="D28" i="6"/>
  <c r="P107" i="1"/>
  <c r="Q106" i="1"/>
  <c r="M6" i="3"/>
  <c r="K25" i="6"/>
  <c r="T106" i="1"/>
  <c r="K27" i="6" s="1"/>
  <c r="K6" i="3"/>
  <c r="I25" i="6"/>
  <c r="F28" i="6"/>
  <c r="B36" i="4"/>
  <c r="Q36" i="1"/>
  <c r="Q37" i="1" s="1"/>
  <c r="AU36" i="1"/>
  <c r="P184" i="1"/>
  <c r="R184" i="1" s="1"/>
  <c r="T184" i="1" s="1"/>
  <c r="H107" i="1"/>
  <c r="K107" i="1" s="1"/>
  <c r="AR37" i="1"/>
  <c r="AT37" i="1" s="1"/>
  <c r="AV37" i="1" s="1"/>
  <c r="AS36" i="1"/>
  <c r="S36" i="1"/>
  <c r="S37" i="1" s="1"/>
  <c r="F108" i="1"/>
  <c r="C29" i="6"/>
  <c r="D109" i="1"/>
  <c r="C39" i="5"/>
  <c r="E39" i="5" s="1"/>
  <c r="O37" i="5"/>
  <c r="Q37" i="5" s="1"/>
  <c r="N37" i="5"/>
  <c r="M38" i="5"/>
  <c r="G38" i="5"/>
  <c r="J38" i="5" s="1"/>
  <c r="K38" i="5" s="1"/>
  <c r="P36" i="5"/>
  <c r="D39" i="1"/>
  <c r="F39" i="1" s="1"/>
  <c r="H39" i="1" s="1"/>
  <c r="K39" i="1" s="1"/>
  <c r="L39" i="1" s="1"/>
  <c r="L185" i="1"/>
  <c r="X38" i="1"/>
  <c r="D186" i="1"/>
  <c r="F186" i="1" s="1"/>
  <c r="H186" i="1" s="1"/>
  <c r="K186" i="1" s="1"/>
  <c r="AH42" i="1"/>
  <c r="AJ41" i="1"/>
  <c r="AL41" i="1" s="1"/>
  <c r="AO41" i="1" s="1"/>
  <c r="AP40" i="1"/>
  <c r="S105" i="1"/>
  <c r="L105" i="1"/>
  <c r="E34" i="2"/>
  <c r="L106" i="1" l="1"/>
  <c r="J27" i="6" s="1"/>
  <c r="J26" i="6"/>
  <c r="L28" i="6"/>
  <c r="M28" i="6"/>
  <c r="D29" i="6"/>
  <c r="P108" i="1"/>
  <c r="L107" i="1"/>
  <c r="J28" i="6" s="1"/>
  <c r="AU37" i="1"/>
  <c r="S106" i="1"/>
  <c r="I27" i="6" s="1"/>
  <c r="I26" i="6"/>
  <c r="R107" i="1"/>
  <c r="H28" i="6" s="1"/>
  <c r="E28" i="6"/>
  <c r="F29" i="6"/>
  <c r="B37" i="4"/>
  <c r="AS37" i="1"/>
  <c r="C26" i="4"/>
  <c r="D26" i="4" s="1"/>
  <c r="Q184" i="1"/>
  <c r="S184" i="1"/>
  <c r="P38" i="1"/>
  <c r="R38" i="1" s="1"/>
  <c r="T38" i="1" s="1"/>
  <c r="P185" i="1"/>
  <c r="R185" i="1" s="1"/>
  <c r="T185" i="1" s="1"/>
  <c r="Q107" i="1"/>
  <c r="H108" i="1"/>
  <c r="K108" i="1" s="1"/>
  <c r="AR38" i="1"/>
  <c r="AT38" i="1" s="1"/>
  <c r="AV38" i="1" s="1"/>
  <c r="F109" i="1"/>
  <c r="C30" i="6"/>
  <c r="O38" i="5"/>
  <c r="Q38" i="5" s="1"/>
  <c r="N38" i="5"/>
  <c r="D110" i="1"/>
  <c r="C40" i="5"/>
  <c r="E40" i="5" s="1"/>
  <c r="M39" i="5"/>
  <c r="G39" i="5"/>
  <c r="J39" i="5" s="1"/>
  <c r="K39" i="5" s="1"/>
  <c r="P37" i="5"/>
  <c r="P38" i="5" s="1"/>
  <c r="D40" i="1"/>
  <c r="F40" i="1" s="1"/>
  <c r="H40" i="1" s="1"/>
  <c r="K40" i="1" s="1"/>
  <c r="L40" i="1" s="1"/>
  <c r="P39" i="1"/>
  <c r="R39" i="1" s="1"/>
  <c r="T39" i="1" s="1"/>
  <c r="X39" i="1"/>
  <c r="D187" i="1"/>
  <c r="F187" i="1" s="1"/>
  <c r="H187" i="1" s="1"/>
  <c r="K187" i="1" s="1"/>
  <c r="L186" i="1"/>
  <c r="AH43" i="1"/>
  <c r="AJ42" i="1"/>
  <c r="AL42" i="1" s="1"/>
  <c r="AO42" i="1" s="1"/>
  <c r="AP41" i="1"/>
  <c r="E35" i="2"/>
  <c r="L29" i="6" l="1"/>
  <c r="M29" i="6"/>
  <c r="D30" i="6"/>
  <c r="F30" i="6" s="1"/>
  <c r="P109" i="1"/>
  <c r="L108" i="1"/>
  <c r="J29" i="6" s="1"/>
  <c r="S107" i="1"/>
  <c r="I28" i="6" s="1"/>
  <c r="T107" i="1"/>
  <c r="K28" i="6" s="1"/>
  <c r="Q108" i="1"/>
  <c r="E29" i="6"/>
  <c r="B38" i="4"/>
  <c r="H109" i="1"/>
  <c r="K109" i="1" s="1"/>
  <c r="P186" i="1"/>
  <c r="R186" i="1" s="1"/>
  <c r="T186" i="1" s="1"/>
  <c r="Q38" i="1"/>
  <c r="Q39" i="1" s="1"/>
  <c r="S185" i="1"/>
  <c r="S186" i="1" s="1"/>
  <c r="C27" i="4"/>
  <c r="D27" i="4" s="1"/>
  <c r="R108" i="1"/>
  <c r="AR39" i="1"/>
  <c r="AT39" i="1" s="1"/>
  <c r="AV39" i="1" s="1"/>
  <c r="AS38" i="1"/>
  <c r="AU38" i="1"/>
  <c r="S38" i="1"/>
  <c r="S39" i="1" s="1"/>
  <c r="Q185" i="1"/>
  <c r="F110" i="1"/>
  <c r="C31" i="6"/>
  <c r="D111" i="1"/>
  <c r="C32" i="6" s="1"/>
  <c r="C41" i="5"/>
  <c r="E41" i="5" s="1"/>
  <c r="O39" i="5"/>
  <c r="Q39" i="5" s="1"/>
  <c r="N39" i="5"/>
  <c r="M40" i="5"/>
  <c r="G40" i="5"/>
  <c r="J40" i="5" s="1"/>
  <c r="K40" i="5" s="1"/>
  <c r="D41" i="1"/>
  <c r="F41" i="1" s="1"/>
  <c r="H41" i="1" s="1"/>
  <c r="K41" i="1" s="1"/>
  <c r="L41" i="1" s="1"/>
  <c r="L187" i="1"/>
  <c r="X40" i="1"/>
  <c r="D188" i="1"/>
  <c r="F188" i="1" s="1"/>
  <c r="H188" i="1" s="1"/>
  <c r="K188" i="1" s="1"/>
  <c r="AH44" i="1"/>
  <c r="AJ43" i="1"/>
  <c r="AL43" i="1" s="1"/>
  <c r="AO43" i="1" s="1"/>
  <c r="AP42" i="1"/>
  <c r="E36" i="2"/>
  <c r="L30" i="6" l="1"/>
  <c r="M30" i="6"/>
  <c r="D31" i="6"/>
  <c r="F31" i="6" s="1"/>
  <c r="P110" i="1"/>
  <c r="L109" i="1"/>
  <c r="J30" i="6" s="1"/>
  <c r="S108" i="1"/>
  <c r="H29" i="6"/>
  <c r="R109" i="1"/>
  <c r="H30" i="6" s="1"/>
  <c r="E30" i="6"/>
  <c r="Q109" i="1"/>
  <c r="P39" i="5"/>
  <c r="AU39" i="1"/>
  <c r="B39" i="4"/>
  <c r="F111" i="1"/>
  <c r="H110" i="1"/>
  <c r="K110" i="1" s="1"/>
  <c r="Q186" i="1"/>
  <c r="AS39" i="1"/>
  <c r="AR40" i="1"/>
  <c r="AT40" i="1" s="1"/>
  <c r="AV40" i="1" s="1"/>
  <c r="C28" i="4"/>
  <c r="D28" i="4" s="1"/>
  <c r="T108" i="1"/>
  <c r="K29" i="6" s="1"/>
  <c r="P187" i="1"/>
  <c r="R187" i="1" s="1"/>
  <c r="T187" i="1" s="1"/>
  <c r="P40" i="1"/>
  <c r="R40" i="1" s="1"/>
  <c r="T40" i="1" s="1"/>
  <c r="D112" i="1"/>
  <c r="C42" i="5"/>
  <c r="E42" i="5" s="1"/>
  <c r="M41" i="5"/>
  <c r="G41" i="5"/>
  <c r="J41" i="5" s="1"/>
  <c r="K41" i="5" s="1"/>
  <c r="O40" i="5"/>
  <c r="Q40" i="5" s="1"/>
  <c r="N40" i="5"/>
  <c r="S187" i="1"/>
  <c r="D42" i="1"/>
  <c r="F42" i="1" s="1"/>
  <c r="H42" i="1" s="1"/>
  <c r="K42" i="1" s="1"/>
  <c r="L42" i="1" s="1"/>
  <c r="L188" i="1"/>
  <c r="X41" i="1"/>
  <c r="D189" i="1"/>
  <c r="F189" i="1" s="1"/>
  <c r="H189" i="1" s="1"/>
  <c r="K189" i="1" s="1"/>
  <c r="AH45" i="1"/>
  <c r="AJ44" i="1"/>
  <c r="AL44" i="1" s="1"/>
  <c r="AO44" i="1" s="1"/>
  <c r="AP43" i="1"/>
  <c r="E37" i="2"/>
  <c r="L31" i="6" l="1"/>
  <c r="M31" i="6"/>
  <c r="D32" i="6"/>
  <c r="F32" i="6" s="1"/>
  <c r="P111" i="1"/>
  <c r="P41" i="1"/>
  <c r="R41" i="1" s="1"/>
  <c r="T41" i="1" s="1"/>
  <c r="L110" i="1"/>
  <c r="J31" i="6" s="1"/>
  <c r="T109" i="1"/>
  <c r="K30" i="6" s="1"/>
  <c r="R110" i="1"/>
  <c r="T110" i="1" s="1"/>
  <c r="K31" i="6" s="1"/>
  <c r="E31" i="6"/>
  <c r="S109" i="1"/>
  <c r="I30" i="6" s="1"/>
  <c r="I29" i="6"/>
  <c r="C29" i="4"/>
  <c r="D29" i="4" s="1"/>
  <c r="P188" i="1"/>
  <c r="R188" i="1" s="1"/>
  <c r="T188" i="1" s="1"/>
  <c r="B40" i="4"/>
  <c r="H111" i="1"/>
  <c r="K111" i="1" s="1"/>
  <c r="AR41" i="1"/>
  <c r="AT41" i="1" s="1"/>
  <c r="AV41" i="1" s="1"/>
  <c r="AU40" i="1"/>
  <c r="Q40" i="1"/>
  <c r="AS40" i="1"/>
  <c r="Q110" i="1"/>
  <c r="Q187" i="1"/>
  <c r="S40" i="1"/>
  <c r="F112" i="1"/>
  <c r="C33" i="6"/>
  <c r="P40" i="5"/>
  <c r="D113" i="1"/>
  <c r="C43" i="5"/>
  <c r="E43" i="5" s="1"/>
  <c r="M42" i="5"/>
  <c r="G42" i="5"/>
  <c r="J42" i="5" s="1"/>
  <c r="K42" i="5" s="1"/>
  <c r="O41" i="5"/>
  <c r="Q41" i="5" s="1"/>
  <c r="N41" i="5"/>
  <c r="D43" i="1"/>
  <c r="F43" i="1" s="1"/>
  <c r="H43" i="1" s="1"/>
  <c r="K43" i="1" s="1"/>
  <c r="L43" i="1" s="1"/>
  <c r="X42" i="1"/>
  <c r="D190" i="1"/>
  <c r="F190" i="1" s="1"/>
  <c r="H190" i="1" s="1"/>
  <c r="K190" i="1" s="1"/>
  <c r="L189" i="1"/>
  <c r="AH46" i="1"/>
  <c r="AJ45" i="1"/>
  <c r="AL45" i="1" s="1"/>
  <c r="AO45" i="1" s="1"/>
  <c r="AP44" i="1"/>
  <c r="E38" i="2"/>
  <c r="L32" i="6" l="1"/>
  <c r="M32" i="6"/>
  <c r="S41" i="1"/>
  <c r="Q41" i="1"/>
  <c r="L111" i="1"/>
  <c r="J32" i="6" s="1"/>
  <c r="D33" i="6"/>
  <c r="F33" i="6" s="1"/>
  <c r="P112" i="1"/>
  <c r="Q111" i="1"/>
  <c r="Q188" i="1"/>
  <c r="AS41" i="1"/>
  <c r="AU41" i="1"/>
  <c r="R111" i="1"/>
  <c r="T111" i="1" s="1"/>
  <c r="K32" i="6" s="1"/>
  <c r="E32" i="6"/>
  <c r="S110" i="1"/>
  <c r="I31" i="6" s="1"/>
  <c r="H31" i="6"/>
  <c r="S188" i="1"/>
  <c r="B41" i="4"/>
  <c r="P42" i="1"/>
  <c r="R42" i="1" s="1"/>
  <c r="T42" i="1" s="1"/>
  <c r="H112" i="1"/>
  <c r="K112" i="1" s="1"/>
  <c r="L112" i="1" s="1"/>
  <c r="J33" i="6" s="1"/>
  <c r="C30" i="4"/>
  <c r="D30" i="4" s="1"/>
  <c r="P189" i="1"/>
  <c r="R189" i="1" s="1"/>
  <c r="T189" i="1" s="1"/>
  <c r="AR42" i="1"/>
  <c r="AT42" i="1" s="1"/>
  <c r="AV42" i="1" s="1"/>
  <c r="F113" i="1"/>
  <c r="C34" i="6"/>
  <c r="P41" i="5"/>
  <c r="D114" i="1"/>
  <c r="C44" i="5"/>
  <c r="E44" i="5" s="1"/>
  <c r="M43" i="5"/>
  <c r="G43" i="5"/>
  <c r="J43" i="5" s="1"/>
  <c r="K43" i="5" s="1"/>
  <c r="O42" i="5"/>
  <c r="Q42" i="5" s="1"/>
  <c r="N42" i="5"/>
  <c r="D44" i="1"/>
  <c r="F44" i="1" s="1"/>
  <c r="H44" i="1" s="1"/>
  <c r="K44" i="1" s="1"/>
  <c r="L44" i="1" s="1"/>
  <c r="X43" i="1"/>
  <c r="D191" i="1"/>
  <c r="F191" i="1" s="1"/>
  <c r="H191" i="1" s="1"/>
  <c r="K191" i="1" s="1"/>
  <c r="L190" i="1"/>
  <c r="AH47" i="1"/>
  <c r="AJ46" i="1"/>
  <c r="AL46" i="1" s="1"/>
  <c r="AO46" i="1" s="1"/>
  <c r="AP45" i="1"/>
  <c r="E39" i="2"/>
  <c r="L33" i="6" l="1"/>
  <c r="M33" i="6"/>
  <c r="D34" i="6"/>
  <c r="F34" i="6" s="1"/>
  <c r="P113" i="1"/>
  <c r="Q189" i="1"/>
  <c r="R112" i="1"/>
  <c r="T112" i="1" s="1"/>
  <c r="K33" i="6" s="1"/>
  <c r="E33" i="6"/>
  <c r="S111" i="1"/>
  <c r="I32" i="6" s="1"/>
  <c r="H32" i="6"/>
  <c r="B42" i="4"/>
  <c r="AU42" i="1"/>
  <c r="S189" i="1"/>
  <c r="S42" i="1"/>
  <c r="Q42" i="1"/>
  <c r="Q112" i="1"/>
  <c r="AS42" i="1"/>
  <c r="H113" i="1"/>
  <c r="K113" i="1" s="1"/>
  <c r="AR43" i="1"/>
  <c r="AT43" i="1" s="1"/>
  <c r="AV43" i="1" s="1"/>
  <c r="C31" i="4"/>
  <c r="D31" i="4" s="1"/>
  <c r="P190" i="1"/>
  <c r="R190" i="1" s="1"/>
  <c r="T190" i="1" s="1"/>
  <c r="P43" i="1"/>
  <c r="R43" i="1" s="1"/>
  <c r="T43" i="1" s="1"/>
  <c r="C7" i="3"/>
  <c r="C35" i="6"/>
  <c r="P42" i="5"/>
  <c r="D115" i="1"/>
  <c r="C45" i="5"/>
  <c r="E45" i="5" s="1"/>
  <c r="M44" i="5"/>
  <c r="G44" i="5"/>
  <c r="J44" i="5" s="1"/>
  <c r="K44" i="5" s="1"/>
  <c r="O43" i="5"/>
  <c r="Q43" i="5" s="1"/>
  <c r="N43" i="5"/>
  <c r="D45" i="1"/>
  <c r="F45" i="1" s="1"/>
  <c r="H45" i="1" s="1"/>
  <c r="K45" i="1" s="1"/>
  <c r="L45" i="1" s="1"/>
  <c r="L191" i="1"/>
  <c r="X44" i="1"/>
  <c r="D192" i="1"/>
  <c r="F192" i="1" s="1"/>
  <c r="H192" i="1" s="1"/>
  <c r="K192" i="1" s="1"/>
  <c r="AH48" i="1"/>
  <c r="AJ47" i="1"/>
  <c r="AL47" i="1" s="1"/>
  <c r="AO47" i="1" s="1"/>
  <c r="AP46" i="1"/>
  <c r="F114" i="1"/>
  <c r="E40" i="2"/>
  <c r="L34" i="6" l="1"/>
  <c r="M34" i="6"/>
  <c r="S43" i="1"/>
  <c r="Q113" i="1"/>
  <c r="Q190" i="1"/>
  <c r="D35" i="6"/>
  <c r="P114" i="1"/>
  <c r="R113" i="1"/>
  <c r="T113" i="1" s="1"/>
  <c r="K34" i="6" s="1"/>
  <c r="E34" i="6"/>
  <c r="S112" i="1"/>
  <c r="I33" i="6" s="1"/>
  <c r="H33" i="6"/>
  <c r="F35" i="6"/>
  <c r="S190" i="1"/>
  <c r="AS43" i="1"/>
  <c r="B43" i="4"/>
  <c r="B44" i="4" s="1"/>
  <c r="Q43" i="1"/>
  <c r="AU43" i="1"/>
  <c r="L113" i="1"/>
  <c r="J34" i="6" s="1"/>
  <c r="F115" i="1"/>
  <c r="C36" i="6"/>
  <c r="P43" i="5"/>
  <c r="D116" i="1"/>
  <c r="C46" i="5"/>
  <c r="E46" i="5" s="1"/>
  <c r="M45" i="5"/>
  <c r="G45" i="5"/>
  <c r="J45" i="5" s="1"/>
  <c r="K45" i="5" s="1"/>
  <c r="O44" i="5"/>
  <c r="Q44" i="5" s="1"/>
  <c r="N44" i="5"/>
  <c r="D46" i="1"/>
  <c r="F46" i="1" s="1"/>
  <c r="H46" i="1" s="1"/>
  <c r="K46" i="1" s="1"/>
  <c r="L46" i="1" s="1"/>
  <c r="P45" i="1"/>
  <c r="R45" i="1" s="1"/>
  <c r="T45" i="1" s="1"/>
  <c r="P44" i="1"/>
  <c r="R44" i="1" s="1"/>
  <c r="AR45" i="1"/>
  <c r="AT45" i="1" s="1"/>
  <c r="AV45" i="1" s="1"/>
  <c r="L192" i="1"/>
  <c r="X45" i="1"/>
  <c r="D193" i="1"/>
  <c r="F193" i="1" s="1"/>
  <c r="H193" i="1" s="1"/>
  <c r="K193" i="1" s="1"/>
  <c r="AR44" i="1"/>
  <c r="P191" i="1"/>
  <c r="R191" i="1" s="1"/>
  <c r="AH49" i="1"/>
  <c r="AJ48" i="1"/>
  <c r="AL48" i="1" s="1"/>
  <c r="AO48" i="1" s="1"/>
  <c r="AP47" i="1"/>
  <c r="C32" i="4"/>
  <c r="D32" i="4" s="1"/>
  <c r="D7" i="3"/>
  <c r="H114" i="1"/>
  <c r="E7" i="3" s="1"/>
  <c r="E41" i="2"/>
  <c r="L35" i="6" l="1"/>
  <c r="M35" i="6"/>
  <c r="D36" i="6"/>
  <c r="F36" i="6" s="1"/>
  <c r="P115" i="1"/>
  <c r="AS44" i="1"/>
  <c r="AS45" i="1" s="1"/>
  <c r="I7" i="3"/>
  <c r="E35" i="6"/>
  <c r="S113" i="1"/>
  <c r="I34" i="6" s="1"/>
  <c r="H34" i="6"/>
  <c r="B45" i="4"/>
  <c r="H115" i="1"/>
  <c r="K115" i="1" s="1"/>
  <c r="C33" i="4"/>
  <c r="D33" i="4" s="1"/>
  <c r="P192" i="1"/>
  <c r="R192" i="1" s="1"/>
  <c r="T192" i="1" s="1"/>
  <c r="F116" i="1"/>
  <c r="C37" i="6"/>
  <c r="P44" i="5"/>
  <c r="D117" i="1"/>
  <c r="C47" i="5"/>
  <c r="E47" i="5" s="1"/>
  <c r="M46" i="5"/>
  <c r="G46" i="5"/>
  <c r="J46" i="5" s="1"/>
  <c r="K46" i="5" s="1"/>
  <c r="O45" i="5"/>
  <c r="Q45" i="5" s="1"/>
  <c r="N45" i="5"/>
  <c r="AT44" i="1"/>
  <c r="AV44" i="1" s="1"/>
  <c r="D47" i="1"/>
  <c r="F47" i="1" s="1"/>
  <c r="H47" i="1" s="1"/>
  <c r="K47" i="1" s="1"/>
  <c r="L47" i="1" s="1"/>
  <c r="Q44" i="1"/>
  <c r="Q45" i="1" s="1"/>
  <c r="T44" i="1"/>
  <c r="S44" i="1"/>
  <c r="S45" i="1" s="1"/>
  <c r="X46" i="1"/>
  <c r="D194" i="1"/>
  <c r="F194" i="1" s="1"/>
  <c r="H194" i="1" s="1"/>
  <c r="K194" i="1" s="1"/>
  <c r="S191" i="1"/>
  <c r="T191" i="1"/>
  <c r="L193" i="1"/>
  <c r="Q191" i="1"/>
  <c r="AH50" i="1"/>
  <c r="AJ49" i="1"/>
  <c r="AL49" i="1" s="1"/>
  <c r="AO49" i="1" s="1"/>
  <c r="AP48" i="1"/>
  <c r="Q114" i="1"/>
  <c r="R114" i="1"/>
  <c r="H35" i="6" s="1"/>
  <c r="K114" i="1"/>
  <c r="F7" i="3" s="1"/>
  <c r="E42" i="2"/>
  <c r="L36" i="6" l="1"/>
  <c r="M36" i="6"/>
  <c r="D37" i="6"/>
  <c r="F37" i="6" s="1"/>
  <c r="P116" i="1"/>
  <c r="S192" i="1"/>
  <c r="R115" i="1"/>
  <c r="H36" i="6" s="1"/>
  <c r="E36" i="6"/>
  <c r="B46" i="4"/>
  <c r="Q192" i="1"/>
  <c r="C34" i="4"/>
  <c r="D34" i="4" s="1"/>
  <c r="AR46" i="1"/>
  <c r="AT46" i="1" s="1"/>
  <c r="AV46" i="1" s="1"/>
  <c r="H116" i="1"/>
  <c r="K116" i="1" s="1"/>
  <c r="P193" i="1"/>
  <c r="R193" i="1" s="1"/>
  <c r="T193" i="1" s="1"/>
  <c r="P46" i="1"/>
  <c r="R46" i="1" s="1"/>
  <c r="T46" i="1" s="1"/>
  <c r="F117" i="1"/>
  <c r="C38" i="6"/>
  <c r="AU44" i="1"/>
  <c r="AU45" i="1" s="1"/>
  <c r="P45" i="5"/>
  <c r="M47" i="5"/>
  <c r="G47" i="5"/>
  <c r="J47" i="5" s="1"/>
  <c r="K47" i="5" s="1"/>
  <c r="D118" i="1"/>
  <c r="C48" i="5"/>
  <c r="E48" i="5" s="1"/>
  <c r="O46" i="5"/>
  <c r="Q46" i="5" s="1"/>
  <c r="N46" i="5"/>
  <c r="M32" i="4"/>
  <c r="J7" i="3"/>
  <c r="D48" i="1"/>
  <c r="F48" i="1" s="1"/>
  <c r="H48" i="1" s="1"/>
  <c r="K48" i="1" s="1"/>
  <c r="L48" i="1" s="1"/>
  <c r="L194" i="1"/>
  <c r="X47" i="1"/>
  <c r="D195" i="1"/>
  <c r="F195" i="1" s="1"/>
  <c r="H195" i="1" s="1"/>
  <c r="K195" i="1" s="1"/>
  <c r="P194" i="1"/>
  <c r="R194" i="1" s="1"/>
  <c r="T194" i="1" s="1"/>
  <c r="AH51" i="1"/>
  <c r="AJ50" i="1"/>
  <c r="AL50" i="1" s="1"/>
  <c r="AO50" i="1" s="1"/>
  <c r="AP49" i="1"/>
  <c r="S114" i="1"/>
  <c r="Q115" i="1"/>
  <c r="T114" i="1"/>
  <c r="L114" i="1"/>
  <c r="E43" i="2"/>
  <c r="G7" i="3" l="1"/>
  <c r="J35" i="6"/>
  <c r="L37" i="6"/>
  <c r="M37" i="6"/>
  <c r="D38" i="6"/>
  <c r="F38" i="6" s="1"/>
  <c r="P117" i="1"/>
  <c r="T115" i="1"/>
  <c r="K36" i="6" s="1"/>
  <c r="M7" i="3"/>
  <c r="K35" i="6"/>
  <c r="K7" i="3"/>
  <c r="I35" i="6"/>
  <c r="R116" i="1"/>
  <c r="H37" i="6" s="1"/>
  <c r="E37" i="6"/>
  <c r="B47" i="4"/>
  <c r="H117" i="1"/>
  <c r="K117" i="1" s="1"/>
  <c r="C35" i="4"/>
  <c r="D35" i="4" s="1"/>
  <c r="Q193" i="1"/>
  <c r="Q194" i="1" s="1"/>
  <c r="AR47" i="1"/>
  <c r="AT47" i="1" s="1"/>
  <c r="AV47" i="1" s="1"/>
  <c r="P47" i="1"/>
  <c r="R47" i="1" s="1"/>
  <c r="T47" i="1" s="1"/>
  <c r="Q116" i="1"/>
  <c r="AS46" i="1"/>
  <c r="AU46" i="1"/>
  <c r="S193" i="1"/>
  <c r="S194" i="1" s="1"/>
  <c r="Q46" i="1"/>
  <c r="S46" i="1"/>
  <c r="F118" i="1"/>
  <c r="C39" i="6"/>
  <c r="P46" i="5"/>
  <c r="M48" i="5"/>
  <c r="G48" i="5"/>
  <c r="J48" i="5" s="1"/>
  <c r="K48" i="5" s="1"/>
  <c r="D119" i="1"/>
  <c r="C40" i="6" s="1"/>
  <c r="C49" i="5"/>
  <c r="E49" i="5" s="1"/>
  <c r="O47" i="5"/>
  <c r="Q47" i="5" s="1"/>
  <c r="N47" i="5"/>
  <c r="D49" i="1"/>
  <c r="F49" i="1" s="1"/>
  <c r="H49" i="1" s="1"/>
  <c r="K49" i="1" s="1"/>
  <c r="L49" i="1" s="1"/>
  <c r="X48" i="1"/>
  <c r="D196" i="1"/>
  <c r="F196" i="1" s="1"/>
  <c r="H196" i="1" s="1"/>
  <c r="K196" i="1" s="1"/>
  <c r="L195" i="1"/>
  <c r="AH52" i="1"/>
  <c r="AJ51" i="1"/>
  <c r="AL51" i="1" s="1"/>
  <c r="AO51" i="1" s="1"/>
  <c r="AP50" i="1"/>
  <c r="S115" i="1"/>
  <c r="L115" i="1"/>
  <c r="E44" i="2"/>
  <c r="L116" i="1" l="1"/>
  <c r="J36" i="6"/>
  <c r="L38" i="6"/>
  <c r="M38" i="6"/>
  <c r="D39" i="6"/>
  <c r="F39" i="6" s="1"/>
  <c r="P118" i="1"/>
  <c r="AS47" i="1"/>
  <c r="Q47" i="1"/>
  <c r="T116" i="1"/>
  <c r="K37" i="6" s="1"/>
  <c r="S116" i="1"/>
  <c r="I36" i="6"/>
  <c r="R117" i="1"/>
  <c r="H38" i="6" s="1"/>
  <c r="E38" i="6"/>
  <c r="B48" i="4"/>
  <c r="AU47" i="1"/>
  <c r="Q117" i="1"/>
  <c r="AR48" i="1"/>
  <c r="AT48" i="1" s="1"/>
  <c r="AV48" i="1" s="1"/>
  <c r="S47" i="1"/>
  <c r="P48" i="1"/>
  <c r="R48" i="1" s="1"/>
  <c r="T48" i="1" s="1"/>
  <c r="F119" i="1"/>
  <c r="H118" i="1"/>
  <c r="K118" i="1" s="1"/>
  <c r="C36" i="4"/>
  <c r="D36" i="4" s="1"/>
  <c r="P195" i="1"/>
  <c r="R195" i="1" s="1"/>
  <c r="T195" i="1" s="1"/>
  <c r="P47" i="5"/>
  <c r="D120" i="1"/>
  <c r="C41" i="6" s="1"/>
  <c r="C50" i="5"/>
  <c r="E50" i="5" s="1"/>
  <c r="M49" i="5"/>
  <c r="G49" i="5"/>
  <c r="J49" i="5" s="1"/>
  <c r="K49" i="5" s="1"/>
  <c r="O48" i="5"/>
  <c r="Q48" i="5" s="1"/>
  <c r="N48" i="5"/>
  <c r="D50" i="1"/>
  <c r="F50" i="1" s="1"/>
  <c r="H50" i="1" s="1"/>
  <c r="K50" i="1" s="1"/>
  <c r="L50" i="1" s="1"/>
  <c r="L196" i="1"/>
  <c r="X49" i="1"/>
  <c r="D197" i="1"/>
  <c r="F197" i="1" s="1"/>
  <c r="H197" i="1" s="1"/>
  <c r="K197" i="1" s="1"/>
  <c r="AH53" i="1"/>
  <c r="AJ52" i="1"/>
  <c r="AL52" i="1" s="1"/>
  <c r="AO52" i="1" s="1"/>
  <c r="AP51" i="1"/>
  <c r="E45" i="2"/>
  <c r="L117" i="1" l="1"/>
  <c r="J38" i="6" s="1"/>
  <c r="J37" i="6"/>
  <c r="L39" i="6"/>
  <c r="M39" i="6"/>
  <c r="T117" i="1"/>
  <c r="K38" i="6" s="1"/>
  <c r="D40" i="6"/>
  <c r="F40" i="6" s="1"/>
  <c r="P119" i="1"/>
  <c r="R118" i="1"/>
  <c r="T118" i="1" s="1"/>
  <c r="K39" i="6" s="1"/>
  <c r="E39" i="6"/>
  <c r="S117" i="1"/>
  <c r="I38" i="6" s="1"/>
  <c r="I37" i="6"/>
  <c r="B49" i="4"/>
  <c r="Q195" i="1"/>
  <c r="P196" i="1"/>
  <c r="R196" i="1" s="1"/>
  <c r="T196" i="1" s="1"/>
  <c r="S195" i="1"/>
  <c r="AS48" i="1"/>
  <c r="AU48" i="1"/>
  <c r="S48" i="1"/>
  <c r="Q48" i="1"/>
  <c r="F120" i="1"/>
  <c r="H119" i="1"/>
  <c r="K119" i="1" s="1"/>
  <c r="C37" i="4"/>
  <c r="D37" i="4" s="1"/>
  <c r="AR49" i="1"/>
  <c r="AT49" i="1" s="1"/>
  <c r="AV49" i="1" s="1"/>
  <c r="P49" i="1"/>
  <c r="R49" i="1" s="1"/>
  <c r="T49" i="1" s="1"/>
  <c r="Q118" i="1"/>
  <c r="P48" i="5"/>
  <c r="M50" i="5"/>
  <c r="G50" i="5"/>
  <c r="J50" i="5" s="1"/>
  <c r="K50" i="5" s="1"/>
  <c r="D121" i="1"/>
  <c r="C42" i="6" s="1"/>
  <c r="C51" i="5"/>
  <c r="E51" i="5" s="1"/>
  <c r="O49" i="5"/>
  <c r="Q49" i="5" s="1"/>
  <c r="N49" i="5"/>
  <c r="D51" i="1"/>
  <c r="F51" i="1" s="1"/>
  <c r="H51" i="1" s="1"/>
  <c r="K51" i="1" s="1"/>
  <c r="L51" i="1" s="1"/>
  <c r="X50" i="1"/>
  <c r="D198" i="1"/>
  <c r="F198" i="1" s="1"/>
  <c r="H198" i="1" s="1"/>
  <c r="K198" i="1" s="1"/>
  <c r="L197" i="1"/>
  <c r="AH54" i="1"/>
  <c r="AJ53" i="1"/>
  <c r="AL53" i="1" s="1"/>
  <c r="AO53" i="1" s="1"/>
  <c r="AP52" i="1"/>
  <c r="E46" i="2"/>
  <c r="L118" i="1" l="1"/>
  <c r="J39" i="6" s="1"/>
  <c r="L40" i="6"/>
  <c r="M40" i="6"/>
  <c r="D41" i="6"/>
  <c r="F41" i="6" s="1"/>
  <c r="P120" i="1"/>
  <c r="Q119" i="1"/>
  <c r="R119" i="1"/>
  <c r="T119" i="1" s="1"/>
  <c r="K40" i="6" s="1"/>
  <c r="E40" i="6"/>
  <c r="S118" i="1"/>
  <c r="I39" i="6" s="1"/>
  <c r="H39" i="6"/>
  <c r="B50" i="4"/>
  <c r="Q196" i="1"/>
  <c r="S196" i="1"/>
  <c r="F121" i="1"/>
  <c r="H120" i="1"/>
  <c r="K120" i="1" s="1"/>
  <c r="C38" i="4"/>
  <c r="D38" i="4" s="1"/>
  <c r="AR50" i="1"/>
  <c r="AT50" i="1" s="1"/>
  <c r="AV50" i="1" s="1"/>
  <c r="S49" i="1"/>
  <c r="P50" i="1"/>
  <c r="R50" i="1" s="1"/>
  <c r="T50" i="1" s="1"/>
  <c r="P197" i="1"/>
  <c r="R197" i="1" s="1"/>
  <c r="T197" i="1" s="1"/>
  <c r="Q49" i="1"/>
  <c r="AS49" i="1"/>
  <c r="L119" i="1"/>
  <c r="J40" i="6" s="1"/>
  <c r="AU49" i="1"/>
  <c r="P49" i="5"/>
  <c r="D122" i="1"/>
  <c r="C52" i="5"/>
  <c r="E52" i="5" s="1"/>
  <c r="M51" i="5"/>
  <c r="G51" i="5"/>
  <c r="J51" i="5" s="1"/>
  <c r="K51" i="5" s="1"/>
  <c r="O50" i="5"/>
  <c r="Q50" i="5" s="1"/>
  <c r="N50" i="5"/>
  <c r="D52" i="1"/>
  <c r="F52" i="1" s="1"/>
  <c r="H52" i="1" s="1"/>
  <c r="K52" i="1" s="1"/>
  <c r="L52" i="1" s="1"/>
  <c r="L198" i="1"/>
  <c r="P198" i="1"/>
  <c r="R198" i="1" s="1"/>
  <c r="T198" i="1" s="1"/>
  <c r="X51" i="1"/>
  <c r="D199" i="1"/>
  <c r="F199" i="1" s="1"/>
  <c r="H199" i="1" s="1"/>
  <c r="K199" i="1" s="1"/>
  <c r="AH55" i="1"/>
  <c r="AJ55" i="1" s="1"/>
  <c r="AL55" i="1" s="1"/>
  <c r="AJ54" i="1"/>
  <c r="AL54" i="1" s="1"/>
  <c r="AO54" i="1" s="1"/>
  <c r="AP53" i="1"/>
  <c r="E47" i="2"/>
  <c r="L41" i="6" l="1"/>
  <c r="M41" i="6"/>
  <c r="D42" i="6"/>
  <c r="F42" i="6" s="1"/>
  <c r="P121" i="1"/>
  <c r="S197" i="1"/>
  <c r="S198" i="1" s="1"/>
  <c r="AU50" i="1"/>
  <c r="AS50" i="1"/>
  <c r="R120" i="1"/>
  <c r="T120" i="1" s="1"/>
  <c r="K41" i="6" s="1"/>
  <c r="E41" i="6"/>
  <c r="S119" i="1"/>
  <c r="I40" i="6" s="1"/>
  <c r="H40" i="6"/>
  <c r="B51" i="4"/>
  <c r="C39" i="4"/>
  <c r="D39" i="4" s="1"/>
  <c r="L120" i="1"/>
  <c r="J41" i="6" s="1"/>
  <c r="H121" i="1"/>
  <c r="K121" i="1" s="1"/>
  <c r="AR51" i="1"/>
  <c r="AT51" i="1" s="1"/>
  <c r="AV51" i="1" s="1"/>
  <c r="P51" i="1"/>
  <c r="R51" i="1" s="1"/>
  <c r="T51" i="1" s="1"/>
  <c r="Q197" i="1"/>
  <c r="Q198" i="1" s="1"/>
  <c r="Q50" i="1"/>
  <c r="S50" i="1"/>
  <c r="Q120" i="1"/>
  <c r="F122" i="1"/>
  <c r="C43" i="6"/>
  <c r="P50" i="5"/>
  <c r="D123" i="1"/>
  <c r="C44" i="6" s="1"/>
  <c r="C53" i="5"/>
  <c r="E53" i="5" s="1"/>
  <c r="M52" i="5"/>
  <c r="G52" i="5"/>
  <c r="J52" i="5" s="1"/>
  <c r="K52" i="5" s="1"/>
  <c r="O51" i="5"/>
  <c r="Q51" i="5" s="1"/>
  <c r="N51" i="5"/>
  <c r="D53" i="1"/>
  <c r="F53" i="1" s="1"/>
  <c r="H53" i="1" s="1"/>
  <c r="K53" i="1" s="1"/>
  <c r="L53" i="1" s="1"/>
  <c r="X52" i="1"/>
  <c r="D200" i="1"/>
  <c r="F200" i="1" s="1"/>
  <c r="H200" i="1" s="1"/>
  <c r="K200" i="1" s="1"/>
  <c r="L199" i="1"/>
  <c r="AO55" i="1"/>
  <c r="AL67" i="1"/>
  <c r="AP54" i="1"/>
  <c r="E48" i="2"/>
  <c r="L42" i="6" l="1"/>
  <c r="M42" i="6"/>
  <c r="Q51" i="1"/>
  <c r="D43" i="6"/>
  <c r="F43" i="6" s="1"/>
  <c r="P122" i="1"/>
  <c r="AU51" i="1"/>
  <c r="R121" i="1"/>
  <c r="H42" i="6" s="1"/>
  <c r="E42" i="6"/>
  <c r="S120" i="1"/>
  <c r="I41" i="6" s="1"/>
  <c r="H41" i="6"/>
  <c r="B52" i="4"/>
  <c r="L121" i="1"/>
  <c r="J42" i="6" s="1"/>
  <c r="F123" i="1"/>
  <c r="S51" i="1"/>
  <c r="AS51" i="1"/>
  <c r="Q121" i="1"/>
  <c r="AR52" i="1"/>
  <c r="AT52" i="1" s="1"/>
  <c r="AV52" i="1" s="1"/>
  <c r="P52" i="1"/>
  <c r="R52" i="1" s="1"/>
  <c r="T52" i="1" s="1"/>
  <c r="H122" i="1"/>
  <c r="K122" i="1" s="1"/>
  <c r="C40" i="4"/>
  <c r="D40" i="4" s="1"/>
  <c r="P199" i="1"/>
  <c r="R199" i="1" s="1"/>
  <c r="T199" i="1" s="1"/>
  <c r="P51" i="5"/>
  <c r="D124" i="1"/>
  <c r="C45" i="6" s="1"/>
  <c r="C54" i="5"/>
  <c r="E54" i="5" s="1"/>
  <c r="M53" i="5"/>
  <c r="G53" i="5"/>
  <c r="J53" i="5" s="1"/>
  <c r="K53" i="5" s="1"/>
  <c r="O52" i="5"/>
  <c r="Q52" i="5" s="1"/>
  <c r="N52" i="5"/>
  <c r="AP55" i="1"/>
  <c r="D54" i="1"/>
  <c r="F54" i="1" s="1"/>
  <c r="H54" i="1" s="1"/>
  <c r="L200" i="1"/>
  <c r="X53" i="1"/>
  <c r="D201" i="1"/>
  <c r="F201" i="1" s="1"/>
  <c r="H201" i="1" s="1"/>
  <c r="AO67" i="1"/>
  <c r="E49" i="2"/>
  <c r="L43" i="6" l="1"/>
  <c r="M43" i="6"/>
  <c r="T121" i="1"/>
  <c r="K42" i="6" s="1"/>
  <c r="D44" i="6"/>
  <c r="F44" i="6" s="1"/>
  <c r="P123" i="1"/>
  <c r="H123" i="1"/>
  <c r="K123" i="1" s="1"/>
  <c r="P53" i="1"/>
  <c r="R53" i="1" s="1"/>
  <c r="T53" i="1" s="1"/>
  <c r="R122" i="1"/>
  <c r="T122" i="1" s="1"/>
  <c r="K43" i="6" s="1"/>
  <c r="E43" i="6"/>
  <c r="S121" i="1"/>
  <c r="I42" i="6" s="1"/>
  <c r="B53" i="4"/>
  <c r="B54" i="4" s="1"/>
  <c r="P200" i="1"/>
  <c r="R200" i="1" s="1"/>
  <c r="T200" i="1" s="1"/>
  <c r="C41" i="4"/>
  <c r="D41" i="4" s="1"/>
  <c r="AR53" i="1"/>
  <c r="AT53" i="1" s="1"/>
  <c r="AV53" i="1" s="1"/>
  <c r="AS52" i="1"/>
  <c r="Q199" i="1"/>
  <c r="Q200" i="1" s="1"/>
  <c r="Q52" i="1"/>
  <c r="S52" i="1"/>
  <c r="AU52" i="1"/>
  <c r="Q122" i="1"/>
  <c r="L122" i="1"/>
  <c r="J43" i="6" s="1"/>
  <c r="S199" i="1"/>
  <c r="X54" i="1"/>
  <c r="D125" i="1"/>
  <c r="F124" i="1"/>
  <c r="C8" i="3"/>
  <c r="P52" i="5"/>
  <c r="M54" i="5"/>
  <c r="G54" i="5"/>
  <c r="J54" i="5" s="1"/>
  <c r="K54" i="5" s="1"/>
  <c r="O53" i="5"/>
  <c r="Q53" i="5" s="1"/>
  <c r="N53" i="5"/>
  <c r="D139" i="1"/>
  <c r="K54" i="1"/>
  <c r="K201" i="1"/>
  <c r="E50" i="2"/>
  <c r="L44" i="6" l="1"/>
  <c r="M44" i="6"/>
  <c r="P201" i="1"/>
  <c r="R201" i="1" s="1"/>
  <c r="P124" i="1"/>
  <c r="R124" i="1" s="1"/>
  <c r="H45" i="6" s="1"/>
  <c r="Q53" i="1"/>
  <c r="S53" i="1"/>
  <c r="L123" i="1"/>
  <c r="J44" i="6" s="1"/>
  <c r="R123" i="1"/>
  <c r="E44" i="6"/>
  <c r="S122" i="1"/>
  <c r="I43" i="6" s="1"/>
  <c r="H43" i="6"/>
  <c r="D126" i="1"/>
  <c r="C47" i="6" s="1"/>
  <c r="S200" i="1"/>
  <c r="Q123" i="1"/>
  <c r="AS53" i="1"/>
  <c r="AU53" i="1"/>
  <c r="D8" i="3"/>
  <c r="D45" i="6"/>
  <c r="F125" i="1"/>
  <c r="P125" i="1" s="1"/>
  <c r="C46" i="6"/>
  <c r="H124" i="1"/>
  <c r="E8" i="3" s="1"/>
  <c r="C42" i="4"/>
  <c r="D42" i="4" s="1"/>
  <c r="AR54" i="1"/>
  <c r="AT54" i="1" s="1"/>
  <c r="AV54" i="1" s="1"/>
  <c r="P54" i="1"/>
  <c r="R54" i="1" s="1"/>
  <c r="T54" i="1" s="1"/>
  <c r="K124" i="1"/>
  <c r="F8" i="3" s="1"/>
  <c r="C55" i="5"/>
  <c r="E55" i="5" s="1"/>
  <c r="M55" i="5" s="1"/>
  <c r="P53" i="5"/>
  <c r="O54" i="5"/>
  <c r="Q54" i="5" s="1"/>
  <c r="N54" i="5"/>
  <c r="D55" i="1"/>
  <c r="F55" i="1" s="1"/>
  <c r="H55" i="1" s="1"/>
  <c r="E51" i="2"/>
  <c r="L54" i="1"/>
  <c r="S201" i="1"/>
  <c r="D202" i="1"/>
  <c r="F202" i="1" s="1"/>
  <c r="H202" i="1" s="1"/>
  <c r="T201" i="1"/>
  <c r="L201" i="1"/>
  <c r="Q201" i="1"/>
  <c r="X55" i="1"/>
  <c r="D46" i="6" l="1"/>
  <c r="F46" i="6" s="1"/>
  <c r="R125" i="1"/>
  <c r="S123" i="1"/>
  <c r="I44" i="6" s="1"/>
  <c r="I8" i="3"/>
  <c r="E45" i="6"/>
  <c r="T123" i="1"/>
  <c r="K44" i="6" s="1"/>
  <c r="H44" i="6"/>
  <c r="F45" i="6"/>
  <c r="J8" i="3"/>
  <c r="M42" i="4"/>
  <c r="Q124" i="1"/>
  <c r="Q125" i="1" s="1"/>
  <c r="L124" i="1"/>
  <c r="J45" i="6" s="1"/>
  <c r="AU54" i="1"/>
  <c r="X56" i="1"/>
  <c r="D127" i="1"/>
  <c r="C48" i="6" s="1"/>
  <c r="D140" i="1"/>
  <c r="F126" i="1"/>
  <c r="K55" i="1"/>
  <c r="L55" i="1" s="1"/>
  <c r="AS54" i="1"/>
  <c r="T124" i="1"/>
  <c r="Q54" i="1"/>
  <c r="S54" i="1"/>
  <c r="G55" i="5"/>
  <c r="J55" i="5" s="1"/>
  <c r="K55" i="5" s="1"/>
  <c r="C56" i="5"/>
  <c r="E56" i="5" s="1"/>
  <c r="M56" i="5" s="1"/>
  <c r="D56" i="1"/>
  <c r="P54" i="5"/>
  <c r="O55" i="5"/>
  <c r="N55" i="5"/>
  <c r="E52" i="2"/>
  <c r="X57" i="1" s="1"/>
  <c r="K202" i="1"/>
  <c r="K204" i="1" s="1"/>
  <c r="H204" i="1"/>
  <c r="F139" i="1"/>
  <c r="L45" i="6" l="1"/>
  <c r="M45" i="6"/>
  <c r="P126" i="1"/>
  <c r="F127" i="1"/>
  <c r="P127" i="1" s="1"/>
  <c r="S124" i="1"/>
  <c r="M8" i="3"/>
  <c r="K45" i="6"/>
  <c r="D48" i="6"/>
  <c r="D47" i="6"/>
  <c r="C44" i="4"/>
  <c r="D44" i="4" s="1"/>
  <c r="G8" i="3"/>
  <c r="D128" i="1"/>
  <c r="C49" i="6" s="1"/>
  <c r="F141" i="1"/>
  <c r="D141" i="1"/>
  <c r="H126" i="1"/>
  <c r="H140" i="1" s="1"/>
  <c r="F140" i="1"/>
  <c r="P55" i="1"/>
  <c r="Q55" i="1" s="1"/>
  <c r="H125" i="1"/>
  <c r="P56" i="1"/>
  <c r="R56" i="1" s="1"/>
  <c r="Q55" i="5"/>
  <c r="G56" i="5"/>
  <c r="J56" i="5" s="1"/>
  <c r="K56" i="5" s="1"/>
  <c r="D57" i="1"/>
  <c r="F57" i="1" s="1"/>
  <c r="H57" i="1" s="1"/>
  <c r="K57" i="1" s="1"/>
  <c r="F56" i="1"/>
  <c r="H56" i="1" s="1"/>
  <c r="P55" i="5"/>
  <c r="O56" i="5"/>
  <c r="N56" i="5"/>
  <c r="E53" i="2"/>
  <c r="X58" i="1" s="1"/>
  <c r="C57" i="5"/>
  <c r="E57" i="5" s="1"/>
  <c r="L202" i="1"/>
  <c r="AR55" i="1"/>
  <c r="AR67" i="1" s="1"/>
  <c r="P202" i="1"/>
  <c r="E46" i="6"/>
  <c r="C43" i="4"/>
  <c r="D43" i="4" s="1"/>
  <c r="K8" i="3" l="1"/>
  <c r="S125" i="1"/>
  <c r="R126" i="1"/>
  <c r="Q126" i="1"/>
  <c r="Q127" i="1" s="1"/>
  <c r="C45" i="4"/>
  <c r="D45" i="4" s="1"/>
  <c r="R127" i="1"/>
  <c r="P57" i="1"/>
  <c r="R57" i="1" s="1"/>
  <c r="E47" i="6"/>
  <c r="I45" i="6"/>
  <c r="F47" i="6"/>
  <c r="F48" i="6"/>
  <c r="P141" i="1"/>
  <c r="H46" i="6"/>
  <c r="P139" i="1"/>
  <c r="P140" i="1"/>
  <c r="D129" i="1"/>
  <c r="F128" i="1"/>
  <c r="P128" i="1" s="1"/>
  <c r="D142" i="1"/>
  <c r="K126" i="1"/>
  <c r="K140" i="1" s="1"/>
  <c r="H127" i="1"/>
  <c r="K127" i="1" s="1"/>
  <c r="K141" i="1" s="1"/>
  <c r="R55" i="1"/>
  <c r="T55" i="1" s="1"/>
  <c r="Q56" i="5"/>
  <c r="K125" i="1"/>
  <c r="H139" i="1"/>
  <c r="K56" i="1"/>
  <c r="T56" i="1" s="1"/>
  <c r="Q56" i="1"/>
  <c r="T57" i="1"/>
  <c r="D58" i="1"/>
  <c r="F58" i="1" s="1"/>
  <c r="H58" i="1" s="1"/>
  <c r="K58" i="1" s="1"/>
  <c r="P56" i="5"/>
  <c r="M57" i="5"/>
  <c r="G57" i="5"/>
  <c r="J57" i="5" s="1"/>
  <c r="K57" i="5" s="1"/>
  <c r="E54" i="2"/>
  <c r="X59" i="1" s="1"/>
  <c r="C58" i="5"/>
  <c r="E58" i="5" s="1"/>
  <c r="P67" i="1"/>
  <c r="AT55" i="1"/>
  <c r="AV55" i="1" s="1"/>
  <c r="AS55" i="1"/>
  <c r="R202" i="1"/>
  <c r="P204" i="1"/>
  <c r="Q202" i="1"/>
  <c r="M46" i="6" l="1"/>
  <c r="L46" i="6"/>
  <c r="Q128" i="1"/>
  <c r="S126" i="1"/>
  <c r="S127" i="1" s="1"/>
  <c r="Q57" i="1"/>
  <c r="C46" i="4"/>
  <c r="D46" i="4" s="1"/>
  <c r="R128" i="1"/>
  <c r="E48" i="6"/>
  <c r="M45" i="4"/>
  <c r="M44" i="4"/>
  <c r="H47" i="6"/>
  <c r="H48" i="6"/>
  <c r="R139" i="1"/>
  <c r="M43" i="4"/>
  <c r="R140" i="1"/>
  <c r="R141" i="1"/>
  <c r="F142" i="1"/>
  <c r="D49" i="6"/>
  <c r="F129" i="1"/>
  <c r="C50" i="6"/>
  <c r="Q141" i="1"/>
  <c r="Q139" i="1"/>
  <c r="P58" i="1"/>
  <c r="R58" i="1" s="1"/>
  <c r="K139" i="1"/>
  <c r="L125" i="1"/>
  <c r="H128" i="1"/>
  <c r="H142" i="1" s="1"/>
  <c r="T126" i="1"/>
  <c r="D130" i="1"/>
  <c r="C51" i="6" s="1"/>
  <c r="H141" i="1"/>
  <c r="S55" i="1"/>
  <c r="S56" i="1" s="1"/>
  <c r="S57" i="1" s="1"/>
  <c r="F143" i="1"/>
  <c r="D143" i="1"/>
  <c r="T58" i="1"/>
  <c r="L56" i="1"/>
  <c r="L57" i="1" s="1"/>
  <c r="L58" i="1" s="1"/>
  <c r="T125" i="1"/>
  <c r="K46" i="6" s="1"/>
  <c r="E55" i="2"/>
  <c r="E56" i="2" s="1"/>
  <c r="D59" i="1"/>
  <c r="F59" i="1" s="1"/>
  <c r="H59" i="1" s="1"/>
  <c r="K59" i="1" s="1"/>
  <c r="O57" i="5"/>
  <c r="N57" i="5"/>
  <c r="M58" i="5"/>
  <c r="G58" i="5"/>
  <c r="AT67" i="1"/>
  <c r="AV67" i="1" s="1"/>
  <c r="AU55" i="1"/>
  <c r="R67" i="1"/>
  <c r="R204" i="1"/>
  <c r="T204" i="1" s="1"/>
  <c r="S202" i="1"/>
  <c r="T202" i="1"/>
  <c r="L126" i="1" l="1"/>
  <c r="J46" i="6"/>
  <c r="M48" i="6"/>
  <c r="M47" i="6"/>
  <c r="L48" i="6"/>
  <c r="L47" i="6"/>
  <c r="S128" i="1"/>
  <c r="P129" i="1"/>
  <c r="Q129" i="1" s="1"/>
  <c r="T127" i="1"/>
  <c r="K48" i="6" s="1"/>
  <c r="E49" i="6"/>
  <c r="T141" i="1"/>
  <c r="T140" i="1"/>
  <c r="K47" i="6"/>
  <c r="S139" i="1"/>
  <c r="I46" i="6"/>
  <c r="F49" i="6"/>
  <c r="Q140" i="1"/>
  <c r="L139" i="1"/>
  <c r="D50" i="6"/>
  <c r="C47" i="4"/>
  <c r="P142" i="1"/>
  <c r="Q142" i="1"/>
  <c r="M9" i="3"/>
  <c r="T139" i="1"/>
  <c r="Q58" i="1"/>
  <c r="S58" i="1"/>
  <c r="D131" i="1"/>
  <c r="K128" i="1"/>
  <c r="F130" i="1"/>
  <c r="D144" i="1"/>
  <c r="P59" i="1"/>
  <c r="R59" i="1" s="1"/>
  <c r="T59" i="1" s="1"/>
  <c r="H129" i="1"/>
  <c r="K129" i="1" s="1"/>
  <c r="H143" i="1"/>
  <c r="E57" i="2"/>
  <c r="X61" i="1"/>
  <c r="X60" i="1"/>
  <c r="I47" i="6"/>
  <c r="L59" i="1"/>
  <c r="D60" i="1"/>
  <c r="O58" i="5"/>
  <c r="N58" i="5"/>
  <c r="M60" i="5"/>
  <c r="Q57" i="5"/>
  <c r="P57" i="5"/>
  <c r="P58" i="5" s="1"/>
  <c r="J58" i="5"/>
  <c r="G60" i="5"/>
  <c r="L127" i="1" l="1"/>
  <c r="J48" i="6" s="1"/>
  <c r="J47" i="6"/>
  <c r="R129" i="1"/>
  <c r="P143" i="1"/>
  <c r="H130" i="1"/>
  <c r="H144" i="1" s="1"/>
  <c r="P130" i="1"/>
  <c r="Q130" i="1" s="1"/>
  <c r="C48" i="4"/>
  <c r="D48" i="4" s="1"/>
  <c r="R130" i="1"/>
  <c r="T128" i="1"/>
  <c r="T142" i="1" s="1"/>
  <c r="M46" i="4"/>
  <c r="H49" i="6"/>
  <c r="E50" i="6"/>
  <c r="F50" i="6"/>
  <c r="R142" i="1"/>
  <c r="D47" i="4"/>
  <c r="F144" i="1"/>
  <c r="D51" i="6"/>
  <c r="D132" i="1"/>
  <c r="C53" i="6" s="1"/>
  <c r="C52" i="6"/>
  <c r="P144" i="1"/>
  <c r="S59" i="1"/>
  <c r="P60" i="1"/>
  <c r="R60" i="1" s="1"/>
  <c r="I48" i="6"/>
  <c r="S140" i="1"/>
  <c r="L128" i="1"/>
  <c r="K142" i="1"/>
  <c r="F131" i="1"/>
  <c r="P131" i="1" s="1"/>
  <c r="D145" i="1"/>
  <c r="Q59" i="1"/>
  <c r="Q143" i="1"/>
  <c r="K143" i="1"/>
  <c r="L140" i="1"/>
  <c r="E58" i="2"/>
  <c r="X62" i="1"/>
  <c r="F60" i="1"/>
  <c r="H60" i="1" s="1"/>
  <c r="D61" i="1"/>
  <c r="Q58" i="5"/>
  <c r="O60" i="5"/>
  <c r="J60" i="5"/>
  <c r="K58" i="5"/>
  <c r="L129" i="1" l="1"/>
  <c r="J50" i="6" s="1"/>
  <c r="J49" i="6"/>
  <c r="K49" i="6"/>
  <c r="M49" i="6"/>
  <c r="L49" i="6"/>
  <c r="Q131" i="1"/>
  <c r="R143" i="1"/>
  <c r="S129" i="1"/>
  <c r="S130" i="1" s="1"/>
  <c r="T129" i="1"/>
  <c r="K130" i="1"/>
  <c r="Q60" i="1"/>
  <c r="Q144" i="1"/>
  <c r="D133" i="1"/>
  <c r="C54" i="6" s="1"/>
  <c r="E51" i="6"/>
  <c r="C49" i="4"/>
  <c r="D49" i="4" s="1"/>
  <c r="R131" i="1"/>
  <c r="M48" i="4"/>
  <c r="H51" i="6"/>
  <c r="M47" i="4"/>
  <c r="H50" i="6"/>
  <c r="F51" i="6"/>
  <c r="R144" i="1"/>
  <c r="I49" i="6"/>
  <c r="S141" i="1"/>
  <c r="F145" i="1"/>
  <c r="D52" i="6"/>
  <c r="S60" i="1"/>
  <c r="P61" i="1"/>
  <c r="R61" i="1" s="1"/>
  <c r="H131" i="1"/>
  <c r="K131" i="1" s="1"/>
  <c r="K145" i="1" s="1"/>
  <c r="F132" i="1"/>
  <c r="P132" i="1" s="1"/>
  <c r="Q132" i="1" s="1"/>
  <c r="D146" i="1"/>
  <c r="K144" i="1"/>
  <c r="L141" i="1"/>
  <c r="K60" i="1"/>
  <c r="E59" i="2"/>
  <c r="X63" i="1"/>
  <c r="F61" i="1"/>
  <c r="H61" i="1" s="1"/>
  <c r="K61" i="1" s="1"/>
  <c r="D62" i="1"/>
  <c r="Q60" i="5"/>
  <c r="L130" i="1" l="1"/>
  <c r="J51" i="6" s="1"/>
  <c r="M50" i="6"/>
  <c r="M51" i="6"/>
  <c r="L50" i="6"/>
  <c r="L51" i="6"/>
  <c r="S131" i="1"/>
  <c r="D134" i="1"/>
  <c r="C55" i="6" s="1"/>
  <c r="Q145" i="1"/>
  <c r="T130" i="1"/>
  <c r="K51" i="6" s="1"/>
  <c r="K50" i="6"/>
  <c r="T143" i="1"/>
  <c r="C50" i="4"/>
  <c r="D50" i="4" s="1"/>
  <c r="R132" i="1"/>
  <c r="S61" i="1"/>
  <c r="T144" i="1"/>
  <c r="T131" i="1"/>
  <c r="E52" i="6"/>
  <c r="F52" i="6"/>
  <c r="R145" i="1"/>
  <c r="S143" i="1"/>
  <c r="S142" i="1"/>
  <c r="F146" i="1"/>
  <c r="D53" i="6"/>
  <c r="T61" i="1"/>
  <c r="H145" i="1"/>
  <c r="P145" i="1"/>
  <c r="H132" i="1"/>
  <c r="K132" i="1" s="1"/>
  <c r="K146" i="1" s="1"/>
  <c r="Q61" i="1"/>
  <c r="L131" i="1"/>
  <c r="J52" i="6" s="1"/>
  <c r="P62" i="1"/>
  <c r="R62" i="1" s="1"/>
  <c r="D135" i="1"/>
  <c r="C56" i="6" s="1"/>
  <c r="F133" i="1"/>
  <c r="D147" i="1"/>
  <c r="H146" i="1"/>
  <c r="L142" i="1"/>
  <c r="T60" i="1"/>
  <c r="L60" i="1"/>
  <c r="L61" i="1" s="1"/>
  <c r="E60" i="2"/>
  <c r="X64" i="1"/>
  <c r="F147" i="1"/>
  <c r="D63" i="1"/>
  <c r="F62" i="1"/>
  <c r="H62" i="1" s="1"/>
  <c r="K62" i="1" s="1"/>
  <c r="S132" i="1" l="1"/>
  <c r="P133" i="1"/>
  <c r="S62" i="1"/>
  <c r="T145" i="1"/>
  <c r="K52" i="6"/>
  <c r="T132" i="1"/>
  <c r="K53" i="6" s="1"/>
  <c r="E53" i="6"/>
  <c r="I50" i="6"/>
  <c r="M49" i="4"/>
  <c r="H52" i="6"/>
  <c r="F53" i="6"/>
  <c r="D54" i="6"/>
  <c r="C51" i="4"/>
  <c r="F135" i="1"/>
  <c r="D149" i="1"/>
  <c r="T62" i="1"/>
  <c r="Q62" i="1"/>
  <c r="L132" i="1"/>
  <c r="J53" i="6" s="1"/>
  <c r="F134" i="1"/>
  <c r="D148" i="1"/>
  <c r="L143" i="1"/>
  <c r="P63" i="1"/>
  <c r="R63" i="1" s="1"/>
  <c r="H133" i="1"/>
  <c r="E61" i="2"/>
  <c r="E62" i="2" s="1"/>
  <c r="E63" i="2" s="1"/>
  <c r="E64" i="2" s="1"/>
  <c r="E65" i="2" s="1"/>
  <c r="E66" i="2" s="1"/>
  <c r="E67" i="2" s="1"/>
  <c r="E68" i="2" s="1"/>
  <c r="E69" i="2" s="1"/>
  <c r="E70" i="2" s="1"/>
  <c r="X65" i="1"/>
  <c r="D64" i="1"/>
  <c r="F63" i="1"/>
  <c r="H63" i="1" s="1"/>
  <c r="K63" i="1" s="1"/>
  <c r="L62" i="1"/>
  <c r="M52" i="6" l="1"/>
  <c r="L52" i="6"/>
  <c r="D150" i="1"/>
  <c r="C9" i="3" s="1"/>
  <c r="R133" i="1"/>
  <c r="S133" i="1" s="1"/>
  <c r="Q133" i="1"/>
  <c r="P64" i="1"/>
  <c r="R64" i="1" s="1"/>
  <c r="P134" i="1"/>
  <c r="R134" i="1" s="1"/>
  <c r="P135" i="1"/>
  <c r="R135" i="1" s="1"/>
  <c r="S63" i="1"/>
  <c r="C52" i="4"/>
  <c r="D52" i="4" s="1"/>
  <c r="S145" i="1"/>
  <c r="I52" i="6"/>
  <c r="P147" i="1"/>
  <c r="E54" i="6"/>
  <c r="S144" i="1"/>
  <c r="I51" i="6"/>
  <c r="M50" i="4"/>
  <c r="H53" i="6"/>
  <c r="F54" i="6"/>
  <c r="I53" i="6"/>
  <c r="D51" i="4"/>
  <c r="D56" i="6"/>
  <c r="C53" i="4"/>
  <c r="D53" i="4" s="1"/>
  <c r="F148" i="1"/>
  <c r="D55" i="6"/>
  <c r="H134" i="1"/>
  <c r="H148" i="1" s="1"/>
  <c r="Q63" i="1"/>
  <c r="H135" i="1"/>
  <c r="H149" i="1" s="1"/>
  <c r="F149" i="1"/>
  <c r="K133" i="1"/>
  <c r="K147" i="1" s="1"/>
  <c r="H147" i="1"/>
  <c r="L144" i="1"/>
  <c r="T63" i="1"/>
  <c r="P65" i="1"/>
  <c r="R65" i="1" s="1"/>
  <c r="L63" i="1"/>
  <c r="D65" i="1"/>
  <c r="F65" i="1" s="1"/>
  <c r="H65" i="1" s="1"/>
  <c r="F64" i="1"/>
  <c r="H64" i="1" s="1"/>
  <c r="K64" i="1" s="1"/>
  <c r="M53" i="6" l="1"/>
  <c r="L53" i="6"/>
  <c r="T64" i="1"/>
  <c r="F150" i="1"/>
  <c r="D9" i="3" s="1"/>
  <c r="Q64" i="1"/>
  <c r="Q65" i="1" s="1"/>
  <c r="Q134" i="1"/>
  <c r="Q135" i="1" s="1"/>
  <c r="S134" i="1"/>
  <c r="S135" i="1" s="1"/>
  <c r="S64" i="1"/>
  <c r="S65" i="1" s="1"/>
  <c r="E55" i="6"/>
  <c r="P149" i="1"/>
  <c r="E56" i="6"/>
  <c r="M51" i="4"/>
  <c r="H54" i="6"/>
  <c r="F55" i="6"/>
  <c r="F56" i="6"/>
  <c r="R147" i="1"/>
  <c r="C57" i="4"/>
  <c r="C60" i="4" s="1"/>
  <c r="D57" i="4"/>
  <c r="P148" i="1"/>
  <c r="P137" i="1"/>
  <c r="I11" i="3" s="1"/>
  <c r="Q148" i="1"/>
  <c r="Q147" i="1"/>
  <c r="T133" i="1"/>
  <c r="K134" i="1"/>
  <c r="K135" i="1"/>
  <c r="K149" i="1" s="1"/>
  <c r="L133" i="1"/>
  <c r="H150" i="1"/>
  <c r="E9" i="3" s="1"/>
  <c r="K148" i="1"/>
  <c r="H137" i="1"/>
  <c r="E11" i="3" s="1"/>
  <c r="L145" i="1"/>
  <c r="K65" i="1"/>
  <c r="K67" i="1" s="1"/>
  <c r="T67" i="1" s="1"/>
  <c r="H67" i="1"/>
  <c r="I54" i="6"/>
  <c r="L64" i="1"/>
  <c r="L134" i="1" l="1"/>
  <c r="J55" i="6" s="1"/>
  <c r="J54" i="6"/>
  <c r="M54" i="6"/>
  <c r="L54" i="6"/>
  <c r="P150" i="1"/>
  <c r="I9" i="3" s="1"/>
  <c r="Q149" i="1"/>
  <c r="Q150" i="1" s="1"/>
  <c r="T134" i="1"/>
  <c r="K55" i="6" s="1"/>
  <c r="T148" i="1"/>
  <c r="T147" i="1"/>
  <c r="K54" i="6"/>
  <c r="M52" i="4"/>
  <c r="H55" i="6"/>
  <c r="M53" i="4"/>
  <c r="H56" i="6"/>
  <c r="M56" i="4"/>
  <c r="R148" i="1"/>
  <c r="D60" i="4"/>
  <c r="R137" i="1"/>
  <c r="R149" i="1"/>
  <c r="K137" i="1"/>
  <c r="G62" i="4" s="1"/>
  <c r="K150" i="1"/>
  <c r="F9" i="3" s="1"/>
  <c r="I55" i="6"/>
  <c r="S147" i="1"/>
  <c r="T135" i="1"/>
  <c r="L146" i="1"/>
  <c r="L65" i="1"/>
  <c r="T65" i="1"/>
  <c r="L135" i="1" l="1"/>
  <c r="J56" i="6" s="1"/>
  <c r="M56" i="6"/>
  <c r="M55" i="6"/>
  <c r="L56" i="6"/>
  <c r="L55" i="6"/>
  <c r="T149" i="1"/>
  <c r="T150" i="1" s="1"/>
  <c r="K56" i="6"/>
  <c r="K11" i="3"/>
  <c r="P11" i="3"/>
  <c r="R150" i="1"/>
  <c r="J9" i="3" s="1"/>
  <c r="F53" i="4"/>
  <c r="O56" i="6" s="1"/>
  <c r="S56" i="6" s="1"/>
  <c r="F51" i="4"/>
  <c r="O54" i="6" s="1"/>
  <c r="F49" i="4"/>
  <c r="O52" i="6" s="1"/>
  <c r="F47" i="4"/>
  <c r="O50" i="6" s="1"/>
  <c r="F45" i="4"/>
  <c r="O48" i="6" s="1"/>
  <c r="F43" i="4"/>
  <c r="O46" i="6" s="1"/>
  <c r="F41" i="4"/>
  <c r="O44" i="6" s="1"/>
  <c r="F39" i="4"/>
  <c r="O42" i="6" s="1"/>
  <c r="F37" i="4"/>
  <c r="O40" i="6" s="1"/>
  <c r="F35" i="4"/>
  <c r="O38" i="6" s="1"/>
  <c r="F33" i="4"/>
  <c r="O36" i="6" s="1"/>
  <c r="F31" i="4"/>
  <c r="O34" i="6" s="1"/>
  <c r="F29" i="4"/>
  <c r="O32" i="6" s="1"/>
  <c r="F27" i="4"/>
  <c r="O30" i="6" s="1"/>
  <c r="F25" i="4"/>
  <c r="O28" i="6" s="1"/>
  <c r="F23" i="4"/>
  <c r="O26" i="6" s="1"/>
  <c r="F21" i="4"/>
  <c r="O24" i="6" s="1"/>
  <c r="F19" i="4"/>
  <c r="O22" i="6" s="1"/>
  <c r="F17" i="4"/>
  <c r="O20" i="6" s="1"/>
  <c r="F15" i="4"/>
  <c r="O18" i="6" s="1"/>
  <c r="F13" i="4"/>
  <c r="O16" i="6" s="1"/>
  <c r="F11" i="4"/>
  <c r="O14" i="6" s="1"/>
  <c r="F9" i="4"/>
  <c r="O12" i="6" s="1"/>
  <c r="F7" i="4"/>
  <c r="O10" i="6" s="1"/>
  <c r="F5" i="4"/>
  <c r="O8" i="6" s="1"/>
  <c r="F3" i="4"/>
  <c r="O6" i="6" s="1"/>
  <c r="F2" i="4"/>
  <c r="O5" i="6" s="1"/>
  <c r="F52" i="4"/>
  <c r="O55" i="6" s="1"/>
  <c r="S55" i="6" s="1"/>
  <c r="F50" i="4"/>
  <c r="O53" i="6" s="1"/>
  <c r="F48" i="4"/>
  <c r="O51" i="6" s="1"/>
  <c r="F46" i="4"/>
  <c r="O49" i="6" s="1"/>
  <c r="F44" i="4"/>
  <c r="O47" i="6" s="1"/>
  <c r="F42" i="4"/>
  <c r="O45" i="6" s="1"/>
  <c r="F40" i="4"/>
  <c r="O43" i="6" s="1"/>
  <c r="F38" i="4"/>
  <c r="O41" i="6" s="1"/>
  <c r="F36" i="4"/>
  <c r="O39" i="6" s="1"/>
  <c r="F34" i="4"/>
  <c r="O37" i="6" s="1"/>
  <c r="F32" i="4"/>
  <c r="O35" i="6" s="1"/>
  <c r="F30" i="4"/>
  <c r="O33" i="6" s="1"/>
  <c r="F28" i="4"/>
  <c r="O31" i="6" s="1"/>
  <c r="F26" i="4"/>
  <c r="O29" i="6" s="1"/>
  <c r="F24" i="4"/>
  <c r="O27" i="6" s="1"/>
  <c r="F22" i="4"/>
  <c r="O25" i="6" s="1"/>
  <c r="F20" i="4"/>
  <c r="O23" i="6" s="1"/>
  <c r="F18" i="4"/>
  <c r="O21" i="6" s="1"/>
  <c r="F16" i="4"/>
  <c r="O19" i="6" s="1"/>
  <c r="F14" i="4"/>
  <c r="O17" i="6" s="1"/>
  <c r="F12" i="4"/>
  <c r="O15" i="6" s="1"/>
  <c r="F10" i="4"/>
  <c r="O13" i="6" s="1"/>
  <c r="F8" i="4"/>
  <c r="O11" i="6" s="1"/>
  <c r="F6" i="4"/>
  <c r="O9" i="6" s="1"/>
  <c r="F4" i="4"/>
  <c r="O7" i="6" s="1"/>
  <c r="I22" i="4"/>
  <c r="S148" i="1"/>
  <c r="T137" i="1"/>
  <c r="M11" i="3" s="1"/>
  <c r="G11" i="3"/>
  <c r="L147" i="1"/>
  <c r="S49" i="6" l="1"/>
  <c r="T49" i="6"/>
  <c r="S53" i="6"/>
  <c r="T53" i="6"/>
  <c r="S48" i="6"/>
  <c r="T48" i="6"/>
  <c r="S52" i="6"/>
  <c r="T52" i="6"/>
  <c r="S47" i="6"/>
  <c r="T47" i="6"/>
  <c r="S51" i="6"/>
  <c r="T51" i="6"/>
  <c r="S50" i="6"/>
  <c r="T50" i="6"/>
  <c r="S54" i="6"/>
  <c r="T54" i="6"/>
  <c r="T55" i="6"/>
  <c r="T56" i="6"/>
  <c r="S9" i="6"/>
  <c r="T9" i="6"/>
  <c r="S13" i="6"/>
  <c r="T13" i="6"/>
  <c r="S17" i="6"/>
  <c r="T17" i="6"/>
  <c r="S21" i="6"/>
  <c r="T21" i="6"/>
  <c r="S25" i="6"/>
  <c r="T25" i="6"/>
  <c r="S29" i="6"/>
  <c r="T29" i="6"/>
  <c r="S33" i="6"/>
  <c r="T33" i="6"/>
  <c r="S37" i="6"/>
  <c r="T37" i="6"/>
  <c r="S41" i="6"/>
  <c r="T41" i="6"/>
  <c r="S45" i="6"/>
  <c r="T45" i="6"/>
  <c r="S8" i="6"/>
  <c r="T8" i="6"/>
  <c r="S12" i="6"/>
  <c r="T12" i="6"/>
  <c r="S16" i="6"/>
  <c r="T16" i="6"/>
  <c r="S20" i="6"/>
  <c r="T20" i="6"/>
  <c r="S24" i="6"/>
  <c r="T24" i="6"/>
  <c r="S28" i="6"/>
  <c r="T28" i="6"/>
  <c r="S32" i="6"/>
  <c r="T32" i="6"/>
  <c r="S36" i="6"/>
  <c r="T36" i="6"/>
  <c r="S40" i="6"/>
  <c r="T40" i="6"/>
  <c r="S44" i="6"/>
  <c r="T44" i="6"/>
  <c r="S7" i="6"/>
  <c r="T7" i="6"/>
  <c r="S11" i="6"/>
  <c r="T11" i="6"/>
  <c r="S15" i="6"/>
  <c r="T15" i="6"/>
  <c r="S19" i="6"/>
  <c r="T19" i="6"/>
  <c r="S23" i="6"/>
  <c r="T23" i="6"/>
  <c r="S27" i="6"/>
  <c r="T27" i="6"/>
  <c r="S31" i="6"/>
  <c r="T31" i="6"/>
  <c r="S35" i="6"/>
  <c r="T35" i="6"/>
  <c r="S39" i="6"/>
  <c r="T39" i="6"/>
  <c r="S43" i="6"/>
  <c r="T43" i="6"/>
  <c r="S6" i="6"/>
  <c r="T6" i="6"/>
  <c r="S10" i="6"/>
  <c r="T10" i="6"/>
  <c r="S14" i="6"/>
  <c r="T14" i="6"/>
  <c r="S18" i="6"/>
  <c r="T18" i="6"/>
  <c r="S22" i="6"/>
  <c r="T22" i="6"/>
  <c r="S26" i="6"/>
  <c r="T26" i="6"/>
  <c r="S30" i="6"/>
  <c r="T30" i="6"/>
  <c r="S34" i="6"/>
  <c r="T34" i="6"/>
  <c r="S38" i="6"/>
  <c r="T38" i="6"/>
  <c r="S42" i="6"/>
  <c r="T42" i="6"/>
  <c r="T46" i="6"/>
  <c r="S46" i="6"/>
  <c r="G6" i="4"/>
  <c r="G10" i="4"/>
  <c r="G14" i="4"/>
  <c r="G18" i="4"/>
  <c r="G22" i="4"/>
  <c r="G26" i="4"/>
  <c r="G30" i="4"/>
  <c r="G34" i="4"/>
  <c r="G38" i="4"/>
  <c r="G2" i="4"/>
  <c r="G5" i="4"/>
  <c r="G9" i="4"/>
  <c r="G13" i="4"/>
  <c r="G17" i="4"/>
  <c r="G21" i="4"/>
  <c r="G25" i="4"/>
  <c r="G29" i="4"/>
  <c r="G33" i="4"/>
  <c r="G37" i="4"/>
  <c r="G41" i="4"/>
  <c r="G4" i="4"/>
  <c r="G8" i="4"/>
  <c r="G12" i="4"/>
  <c r="G16" i="4"/>
  <c r="G20" i="4"/>
  <c r="G24" i="4"/>
  <c r="G28" i="4"/>
  <c r="G32" i="4"/>
  <c r="G36" i="4"/>
  <c r="G40" i="4"/>
  <c r="G3" i="4"/>
  <c r="G7" i="4"/>
  <c r="G11" i="4"/>
  <c r="G15" i="4"/>
  <c r="G19" i="4"/>
  <c r="G23" i="4"/>
  <c r="G27" i="4"/>
  <c r="G31" i="4"/>
  <c r="G35" i="4"/>
  <c r="G39" i="4"/>
  <c r="S149" i="1"/>
  <c r="S150" i="1" s="1"/>
  <c r="K9" i="3" s="1"/>
  <c r="I56" i="6"/>
  <c r="G53" i="4"/>
  <c r="I2" i="4"/>
  <c r="I44" i="4"/>
  <c r="I48" i="4"/>
  <c r="I52" i="4"/>
  <c r="I47" i="4"/>
  <c r="I51" i="4"/>
  <c r="I46" i="4"/>
  <c r="I50" i="4"/>
  <c r="I45" i="4"/>
  <c r="I49" i="4"/>
  <c r="I53" i="4"/>
  <c r="G43" i="4"/>
  <c r="I43" i="4"/>
  <c r="G42" i="4"/>
  <c r="I42" i="4"/>
  <c r="G44" i="4"/>
  <c r="G48" i="4"/>
  <c r="G52" i="4"/>
  <c r="G47" i="4"/>
  <c r="G51" i="4"/>
  <c r="G46" i="4"/>
  <c r="G50" i="4"/>
  <c r="G45" i="4"/>
  <c r="G49" i="4"/>
  <c r="I32" i="4"/>
  <c r="I12" i="4"/>
  <c r="L148" i="1"/>
  <c r="G60" i="4" l="1"/>
  <c r="G65" i="4" s="1"/>
  <c r="H2" i="4"/>
  <c r="J32" i="4"/>
  <c r="J12" i="4"/>
  <c r="J22" i="4"/>
  <c r="J2" i="4"/>
  <c r="J43" i="4"/>
  <c r="J53" i="4"/>
  <c r="J46" i="4"/>
  <c r="J47" i="4"/>
  <c r="J48" i="4"/>
  <c r="J49" i="4"/>
  <c r="J50" i="4"/>
  <c r="J51" i="4"/>
  <c r="J52" i="4"/>
  <c r="J44" i="4"/>
  <c r="J45" i="4"/>
  <c r="J42" i="4"/>
  <c r="L149" i="1"/>
  <c r="L150" i="1" s="1"/>
  <c r="G9" i="3" s="1"/>
  <c r="O44" i="4" l="1"/>
  <c r="P53" i="4"/>
  <c r="N53" i="4" s="1"/>
  <c r="P56" i="6" s="1"/>
  <c r="R56" i="6" s="1"/>
  <c r="S44" i="4"/>
  <c r="T53" i="4"/>
  <c r="H3" i="4"/>
  <c r="P43" i="4"/>
  <c r="K2" i="4"/>
  <c r="P4" i="4"/>
  <c r="O35" i="4"/>
  <c r="P10" i="4"/>
  <c r="O4" i="4"/>
  <c r="P7" i="4"/>
  <c r="O34" i="4"/>
  <c r="O38" i="4"/>
  <c r="P24" i="4"/>
  <c r="P33" i="4"/>
  <c r="O21" i="4"/>
  <c r="O49" i="4"/>
  <c r="P47" i="4"/>
  <c r="N47" i="4" s="1"/>
  <c r="P50" i="6" s="1"/>
  <c r="R50" i="6" s="1"/>
  <c r="O6" i="4"/>
  <c r="O23" i="4"/>
  <c r="P11" i="4"/>
  <c r="O11" i="4"/>
  <c r="P21" i="4"/>
  <c r="O12" i="4"/>
  <c r="O36" i="4"/>
  <c r="P41" i="4"/>
  <c r="O24" i="4"/>
  <c r="P40" i="4"/>
  <c r="O51" i="4"/>
  <c r="P50" i="4"/>
  <c r="P25" i="4"/>
  <c r="P12" i="4"/>
  <c r="O16" i="4"/>
  <c r="O13" i="4"/>
  <c r="P19" i="4"/>
  <c r="P38" i="4"/>
  <c r="P39" i="4"/>
  <c r="O9" i="4"/>
  <c r="O37" i="4"/>
  <c r="P16" i="4"/>
  <c r="P32" i="4"/>
  <c r="P13" i="4"/>
  <c r="O33" i="4"/>
  <c r="O18" i="4"/>
  <c r="O7" i="4"/>
  <c r="P37" i="4"/>
  <c r="P26" i="4"/>
  <c r="O14" i="4"/>
  <c r="O42" i="4"/>
  <c r="O31" i="4"/>
  <c r="P5" i="4"/>
  <c r="O52" i="4"/>
  <c r="O50" i="4"/>
  <c r="P52" i="4"/>
  <c r="N52" i="4" s="1"/>
  <c r="P55" i="6" s="1"/>
  <c r="R55" i="6" s="1"/>
  <c r="P46" i="4"/>
  <c r="N46" i="4" s="1"/>
  <c r="P49" i="6" s="1"/>
  <c r="R49" i="6" s="1"/>
  <c r="P22" i="4"/>
  <c r="P27" i="4"/>
  <c r="P20" i="4"/>
  <c r="O43" i="4"/>
  <c r="O17" i="4"/>
  <c r="O19" i="4"/>
  <c r="O2" i="4"/>
  <c r="O20" i="4"/>
  <c r="P17" i="4"/>
  <c r="P18" i="4"/>
  <c r="P28" i="4"/>
  <c r="P9" i="4"/>
  <c r="P29" i="4"/>
  <c r="O32" i="4"/>
  <c r="O41" i="4"/>
  <c r="O8" i="4"/>
  <c r="O26" i="4"/>
  <c r="O5" i="4"/>
  <c r="O15" i="4"/>
  <c r="P34" i="4"/>
  <c r="P15" i="4"/>
  <c r="P14" i="4"/>
  <c r="P42" i="4"/>
  <c r="P23" i="4"/>
  <c r="O30" i="4"/>
  <c r="O40" i="4"/>
  <c r="O3" i="4"/>
  <c r="O29" i="4"/>
  <c r="O39" i="4"/>
  <c r="P30" i="4"/>
  <c r="P3" i="4"/>
  <c r="P2" i="4"/>
  <c r="P8" i="4"/>
  <c r="P36" i="4"/>
  <c r="O22" i="4"/>
  <c r="O25" i="4"/>
  <c r="O27" i="4"/>
  <c r="O10" i="4"/>
  <c r="O28" i="4"/>
  <c r="P6" i="4"/>
  <c r="P35" i="4"/>
  <c r="P31" i="4"/>
  <c r="O48" i="4"/>
  <c r="O47" i="4"/>
  <c r="O46" i="4"/>
  <c r="O45" i="4"/>
  <c r="O53" i="4"/>
  <c r="P48" i="4"/>
  <c r="N48" i="4" s="1"/>
  <c r="P51" i="6" s="1"/>
  <c r="R51" i="6" s="1"/>
  <c r="P44" i="4"/>
  <c r="N44" i="4" s="1"/>
  <c r="P47" i="6" s="1"/>
  <c r="R47" i="6" s="1"/>
  <c r="P51" i="4"/>
  <c r="P49" i="4"/>
  <c r="N49" i="4" s="1"/>
  <c r="P52" i="6" s="1"/>
  <c r="R52" i="6" s="1"/>
  <c r="P45" i="4"/>
  <c r="N45" i="4" s="1"/>
  <c r="P48" i="6" s="1"/>
  <c r="R48" i="6" s="1"/>
  <c r="H4" i="4"/>
  <c r="N35" i="4" l="1"/>
  <c r="P38" i="6" s="1"/>
  <c r="R38" i="6" s="1"/>
  <c r="N8" i="4"/>
  <c r="P11" i="6" s="1"/>
  <c r="R11" i="6" s="1"/>
  <c r="N3" i="4"/>
  <c r="P6" i="6" s="1"/>
  <c r="R6" i="6" s="1"/>
  <c r="N42" i="4"/>
  <c r="P45" i="6" s="1"/>
  <c r="R45" i="6" s="1"/>
  <c r="N15" i="4"/>
  <c r="P18" i="6" s="1"/>
  <c r="R18" i="6" s="1"/>
  <c r="N29" i="4"/>
  <c r="P32" i="6" s="1"/>
  <c r="R32" i="6" s="1"/>
  <c r="N28" i="4"/>
  <c r="P31" i="6" s="1"/>
  <c r="R31" i="6" s="1"/>
  <c r="N17" i="4"/>
  <c r="P20" i="6" s="1"/>
  <c r="R20" i="6" s="1"/>
  <c r="N20" i="4"/>
  <c r="P23" i="6" s="1"/>
  <c r="R23" i="6" s="1"/>
  <c r="N22" i="4"/>
  <c r="P25" i="6" s="1"/>
  <c r="R25" i="6" s="1"/>
  <c r="N37" i="4"/>
  <c r="P40" i="6" s="1"/>
  <c r="R40" i="6" s="1"/>
  <c r="N13" i="4"/>
  <c r="P16" i="6" s="1"/>
  <c r="R16" i="6" s="1"/>
  <c r="N16" i="4"/>
  <c r="P19" i="6" s="1"/>
  <c r="R19" i="6" s="1"/>
  <c r="N38" i="4"/>
  <c r="P41" i="6" s="1"/>
  <c r="R41" i="6" s="1"/>
  <c r="N12" i="4"/>
  <c r="P15" i="6" s="1"/>
  <c r="R15" i="6" s="1"/>
  <c r="N50" i="4"/>
  <c r="P53" i="6" s="1"/>
  <c r="R53" i="6" s="1"/>
  <c r="N40" i="4"/>
  <c r="P43" i="6" s="1"/>
  <c r="R43" i="6" s="1"/>
  <c r="N41" i="4"/>
  <c r="P44" i="6" s="1"/>
  <c r="R44" i="6" s="1"/>
  <c r="N24" i="4"/>
  <c r="P27" i="6" s="1"/>
  <c r="R27" i="6" s="1"/>
  <c r="N51" i="4"/>
  <c r="P54" i="6" s="1"/>
  <c r="R54" i="6" s="1"/>
  <c r="N31" i="4"/>
  <c r="P34" i="6" s="1"/>
  <c r="R34" i="6" s="1"/>
  <c r="N6" i="4"/>
  <c r="P9" i="6" s="1"/>
  <c r="R9" i="6" s="1"/>
  <c r="N36" i="4"/>
  <c r="P39" i="6" s="1"/>
  <c r="R39" i="6" s="1"/>
  <c r="N2" i="4"/>
  <c r="P5" i="6" s="1"/>
  <c r="R5" i="6" s="1"/>
  <c r="N30" i="4"/>
  <c r="P33" i="6" s="1"/>
  <c r="R33" i="6" s="1"/>
  <c r="N23" i="4"/>
  <c r="P26" i="6" s="1"/>
  <c r="R26" i="6" s="1"/>
  <c r="N14" i="4"/>
  <c r="P17" i="6" s="1"/>
  <c r="R17" i="6" s="1"/>
  <c r="N34" i="4"/>
  <c r="P37" i="6" s="1"/>
  <c r="R37" i="6" s="1"/>
  <c r="N9" i="4"/>
  <c r="P12" i="6" s="1"/>
  <c r="R12" i="6" s="1"/>
  <c r="N18" i="4"/>
  <c r="P21" i="6" s="1"/>
  <c r="R21" i="6" s="1"/>
  <c r="N27" i="4"/>
  <c r="P30" i="6" s="1"/>
  <c r="R30" i="6" s="1"/>
  <c r="N5" i="4"/>
  <c r="P8" i="6" s="1"/>
  <c r="R8" i="6" s="1"/>
  <c r="N26" i="4"/>
  <c r="P29" i="6" s="1"/>
  <c r="R29" i="6" s="1"/>
  <c r="N32" i="4"/>
  <c r="P35" i="6" s="1"/>
  <c r="R35" i="6" s="1"/>
  <c r="N39" i="4"/>
  <c r="P42" i="6" s="1"/>
  <c r="R42" i="6" s="1"/>
  <c r="N19" i="4"/>
  <c r="P22" i="6" s="1"/>
  <c r="R22" i="6" s="1"/>
  <c r="N25" i="4"/>
  <c r="P28" i="6" s="1"/>
  <c r="R28" i="6" s="1"/>
  <c r="N21" i="4"/>
  <c r="P24" i="6" s="1"/>
  <c r="R24" i="6" s="1"/>
  <c r="N11" i="4"/>
  <c r="P14" i="6" s="1"/>
  <c r="R14" i="6" s="1"/>
  <c r="N33" i="4"/>
  <c r="P36" i="6" s="1"/>
  <c r="R36" i="6" s="1"/>
  <c r="N7" i="4"/>
  <c r="P10" i="6" s="1"/>
  <c r="R10" i="6" s="1"/>
  <c r="N10" i="4"/>
  <c r="P13" i="6" s="1"/>
  <c r="R13" i="6" s="1"/>
  <c r="N4" i="4"/>
  <c r="P7" i="6" s="1"/>
  <c r="R7" i="6" s="1"/>
  <c r="N43" i="4"/>
  <c r="P46" i="6" s="1"/>
  <c r="R46" i="6" s="1"/>
  <c r="S53" i="4"/>
  <c r="S46" i="4"/>
  <c r="S48" i="4"/>
  <c r="S22" i="4"/>
  <c r="O6" i="3" s="1"/>
  <c r="S52" i="4"/>
  <c r="S12" i="4"/>
  <c r="O5" i="3" s="1"/>
  <c r="S45" i="4"/>
  <c r="S47" i="4"/>
  <c r="S32" i="4"/>
  <c r="O7" i="3" s="1"/>
  <c r="S43" i="4"/>
  <c r="S50" i="4"/>
  <c r="S42" i="4"/>
  <c r="O8" i="3" s="1"/>
  <c r="S51" i="4"/>
  <c r="S49" i="4"/>
  <c r="T45" i="4"/>
  <c r="T51" i="4"/>
  <c r="T48" i="4"/>
  <c r="Q2" i="4"/>
  <c r="T46" i="4"/>
  <c r="T32" i="4"/>
  <c r="P7" i="3" s="1"/>
  <c r="T43" i="4"/>
  <c r="T49" i="4"/>
  <c r="T44" i="4"/>
  <c r="T42" i="4"/>
  <c r="P8" i="3" s="1"/>
  <c r="S2" i="4"/>
  <c r="O4" i="3" s="1"/>
  <c r="T22" i="4"/>
  <c r="S6" i="3" s="1"/>
  <c r="T52" i="4"/>
  <c r="T12" i="4"/>
  <c r="S5" i="3" s="1"/>
  <c r="T50" i="4"/>
  <c r="T47" i="4"/>
  <c r="T2" i="4"/>
  <c r="S4" i="3" s="1"/>
  <c r="H5" i="4"/>
  <c r="Q3" i="4" l="1"/>
  <c r="Q4" i="4" s="1"/>
  <c r="S5" i="6"/>
  <c r="T5" i="6"/>
  <c r="S8" i="3"/>
  <c r="S7" i="3"/>
  <c r="S56" i="4"/>
  <c r="O9" i="3" s="1"/>
  <c r="P6" i="3"/>
  <c r="T56" i="4"/>
  <c r="P9" i="3" s="1"/>
  <c r="P5" i="3"/>
  <c r="U2" i="4"/>
  <c r="P4" i="3"/>
  <c r="H6" i="4"/>
  <c r="Q4" i="3" l="1"/>
  <c r="Q5" i="6"/>
  <c r="Q6" i="6" s="1"/>
  <c r="Q7" i="6" s="1"/>
  <c r="Q8" i="6" s="1"/>
  <c r="Q9" i="6" s="1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Q46" i="6" s="1"/>
  <c r="Q47" i="6" s="1"/>
  <c r="Q48" i="6" s="1"/>
  <c r="Q49" i="6" s="1"/>
  <c r="Q50" i="6" s="1"/>
  <c r="Q51" i="6" s="1"/>
  <c r="Q52" i="6" s="1"/>
  <c r="Q53" i="6" s="1"/>
  <c r="Q54" i="6" s="1"/>
  <c r="Q55" i="6" s="1"/>
  <c r="Q56" i="6" s="1"/>
  <c r="S9" i="3"/>
  <c r="Q5" i="4"/>
  <c r="H7" i="4"/>
  <c r="Q6" i="4" l="1"/>
  <c r="H8" i="4"/>
  <c r="Q7" i="4" l="1"/>
  <c r="H9" i="4"/>
  <c r="Q8" i="4" l="1"/>
  <c r="H10" i="4"/>
  <c r="Q9" i="4" l="1"/>
  <c r="H11" i="4"/>
  <c r="Q10" i="4" l="1"/>
  <c r="H12" i="4"/>
  <c r="Q11" i="4" l="1"/>
  <c r="K12" i="4"/>
  <c r="H13" i="4"/>
  <c r="Q12" i="4" l="1"/>
  <c r="H14" i="4"/>
  <c r="Q13" i="4" l="1"/>
  <c r="U12" i="4"/>
  <c r="Q5" i="3" s="1"/>
  <c r="H15" i="4"/>
  <c r="Q14" i="4" l="1"/>
  <c r="H16" i="4"/>
  <c r="Q15" i="4" l="1"/>
  <c r="H17" i="4"/>
  <c r="Q16" i="4" l="1"/>
  <c r="H18" i="4"/>
  <c r="Q17" i="4" l="1"/>
  <c r="H19" i="4"/>
  <c r="Q18" i="4" l="1"/>
  <c r="H20" i="4"/>
  <c r="Q19" i="4" l="1"/>
  <c r="H21" i="4"/>
  <c r="Q20" i="4" l="1"/>
  <c r="H22" i="4"/>
  <c r="Q21" i="4" l="1"/>
  <c r="K22" i="4"/>
  <c r="H23" i="4"/>
  <c r="Q22" i="4" l="1"/>
  <c r="H24" i="4"/>
  <c r="Q23" i="4" l="1"/>
  <c r="U22" i="4"/>
  <c r="Q6" i="3" s="1"/>
  <c r="H25" i="4"/>
  <c r="Q24" i="4" l="1"/>
  <c r="H26" i="4"/>
  <c r="Q25" i="4" l="1"/>
  <c r="H27" i="4"/>
  <c r="Q26" i="4" l="1"/>
  <c r="H28" i="4"/>
  <c r="Q27" i="4" l="1"/>
  <c r="H29" i="4"/>
  <c r="Q28" i="4" l="1"/>
  <c r="H30" i="4"/>
  <c r="Q29" i="4" l="1"/>
  <c r="H31" i="4"/>
  <c r="Q30" i="4" l="1"/>
  <c r="H32" i="4"/>
  <c r="Q31" i="4" l="1"/>
  <c r="H33" i="4"/>
  <c r="K32" i="4"/>
  <c r="Q32" i="4" l="1"/>
  <c r="H34" i="4"/>
  <c r="Q33" i="4" l="1"/>
  <c r="U32" i="4"/>
  <c r="Q7" i="3" s="1"/>
  <c r="H35" i="4"/>
  <c r="Q34" i="4" l="1"/>
  <c r="H36" i="4"/>
  <c r="Q35" i="4" l="1"/>
  <c r="H37" i="4"/>
  <c r="Q36" i="4" l="1"/>
  <c r="H38" i="4"/>
  <c r="Q37" i="4" l="1"/>
  <c r="H39" i="4"/>
  <c r="Q38" i="4" l="1"/>
  <c r="H40" i="4"/>
  <c r="Q39" i="4" l="1"/>
  <c r="H41" i="4"/>
  <c r="Q40" i="4" l="1"/>
  <c r="H42" i="4"/>
  <c r="Q41" i="4" l="1"/>
  <c r="K42" i="4"/>
  <c r="H43" i="4"/>
  <c r="Q42" i="4" l="1"/>
  <c r="H44" i="4"/>
  <c r="K43" i="4"/>
  <c r="Q43" i="4" l="1"/>
  <c r="Q44" i="4" s="1"/>
  <c r="Q45" i="4" s="1"/>
  <c r="Q46" i="4" s="1"/>
  <c r="Q47" i="4" s="1"/>
  <c r="Q48" i="4" s="1"/>
  <c r="Q49" i="4" s="1"/>
  <c r="Q50" i="4" s="1"/>
  <c r="Q51" i="4" s="1"/>
  <c r="Q52" i="4" s="1"/>
  <c r="Q53" i="4" s="1"/>
  <c r="U42" i="4"/>
  <c r="Q8" i="3" s="1"/>
  <c r="K44" i="4"/>
  <c r="H45" i="4"/>
  <c r="U43" i="4" l="1"/>
  <c r="K45" i="4"/>
  <c r="H46" i="4"/>
  <c r="U44" i="4" l="1"/>
  <c r="K46" i="4"/>
  <c r="H47" i="4"/>
  <c r="U45" i="4" l="1"/>
  <c r="K47" i="4"/>
  <c r="H48" i="4"/>
  <c r="U46" i="4" l="1"/>
  <c r="K48" i="4"/>
  <c r="H49" i="4"/>
  <c r="U47" i="4" l="1"/>
  <c r="K49" i="4"/>
  <c r="H50" i="4"/>
  <c r="U48" i="4" l="1"/>
  <c r="K50" i="4"/>
  <c r="H51" i="4"/>
  <c r="U49" i="4" l="1"/>
  <c r="K51" i="4"/>
  <c r="H52" i="4"/>
  <c r="U50" i="4" l="1"/>
  <c r="K52" i="4"/>
  <c r="H53" i="4"/>
  <c r="U51" i="4" l="1"/>
  <c r="K53" i="4"/>
  <c r="U52" i="4" l="1"/>
  <c r="U53" i="4" l="1"/>
  <c r="U56" i="4" s="1"/>
  <c r="Q9" i="3" l="1"/>
  <c r="S11" i="3" s="1"/>
  <c r="Q11" i="3"/>
</calcChain>
</file>

<file path=xl/sharedStrings.xml><?xml version="1.0" encoding="utf-8"?>
<sst xmlns="http://schemas.openxmlformats.org/spreadsheetml/2006/main" count="406" uniqueCount="142">
  <si>
    <t>Pensioen</t>
  </si>
  <si>
    <t>Oprente</t>
  </si>
  <si>
    <t>Oprent</t>
  </si>
  <si>
    <t>Cumulatief</t>
  </si>
  <si>
    <t>Leeftijd</t>
  </si>
  <si>
    <t>Salaris</t>
  </si>
  <si>
    <t>Franchise</t>
  </si>
  <si>
    <t>Premie/jr</t>
  </si>
  <si>
    <t>Factor</t>
  </si>
  <si>
    <t>jaren</t>
  </si>
  <si>
    <t>eind leeftijd</t>
  </si>
  <si>
    <r>
      <t xml:space="preserve">Arnoud Bosch Hillegom Vereniging Docenten Assurantie- en Bankleer  (VDAB) </t>
    </r>
    <r>
      <rPr>
        <sz val="8"/>
        <color rgb="FF000000"/>
        <rFont val="Calibri"/>
        <family val="2"/>
        <scheme val="minor"/>
      </rPr>
      <t xml:space="preserve">  </t>
    </r>
  </si>
  <si>
    <t>67 jaar</t>
  </si>
  <si>
    <t>Verhoogd</t>
  </si>
  <si>
    <t>% per /jaar</t>
  </si>
  <si>
    <t>%per/jaar</t>
  </si>
  <si>
    <t>premie</t>
  </si>
  <si>
    <t>Rendement</t>
  </si>
  <si>
    <t>% perjaar</t>
  </si>
  <si>
    <t>1e jaar</t>
  </si>
  <si>
    <t>% per/jaar</t>
  </si>
  <si>
    <t>Kapitaal bij</t>
  </si>
  <si>
    <t>aanvang 67 jr</t>
  </si>
  <si>
    <t>Opbouw</t>
  </si>
  <si>
    <t>% over PG</t>
  </si>
  <si>
    <t>Opbouw/jr</t>
  </si>
  <si>
    <t>over opbouw</t>
  </si>
  <si>
    <t>Indextie %</t>
  </si>
  <si>
    <t>tot 67 jaar</t>
  </si>
  <si>
    <t>Benodigd om</t>
  </si>
  <si>
    <t>1 euro pensioen</t>
  </si>
  <si>
    <t>m.i.v. 67 jaar</t>
  </si>
  <si>
    <t>in jaar</t>
  </si>
  <si>
    <t>Grondslag</t>
  </si>
  <si>
    <t>Salaris na leeftijd verhoogd</t>
  </si>
  <si>
    <t>procent</t>
  </si>
  <si>
    <t xml:space="preserve"> leeftijd op 31-12</t>
  </si>
  <si>
    <t>per/jaar</t>
  </si>
  <si>
    <t>Standaard</t>
  </si>
  <si>
    <t>DNB %</t>
  </si>
  <si>
    <t>Maand%</t>
  </si>
  <si>
    <t>DNB</t>
  </si>
  <si>
    <t>franchise</t>
  </si>
  <si>
    <t>minimaal</t>
  </si>
  <si>
    <t>premie %</t>
  </si>
  <si>
    <t>pensioen 67jr</t>
  </si>
  <si>
    <t>Aanvangs</t>
  </si>
  <si>
    <t>Persioen per</t>
  </si>
  <si>
    <t>op 31-12</t>
  </si>
  <si>
    <t>Index pensioen</t>
  </si>
  <si>
    <t>aanvangs 67 jr</t>
  </si>
  <si>
    <t>Cum. Index</t>
  </si>
  <si>
    <t>De opbouw- en pensioenpremie worden berekent over de pensioengrondslag</t>
  </si>
  <si>
    <t>Premie %</t>
  </si>
  <si>
    <t>Salaris /jaar</t>
  </si>
  <si>
    <t>Verhoogd %</t>
  </si>
  <si>
    <t>Indexatie</t>
  </si>
  <si>
    <t>Leeftijd na</t>
  </si>
  <si>
    <t>Maand</t>
  </si>
  <si>
    <t>premie J/N</t>
  </si>
  <si>
    <t>Salarisverhoging jaarlijks</t>
  </si>
  <si>
    <t>Procent/jaar</t>
  </si>
  <si>
    <t>Jaarlijks %</t>
  </si>
  <si>
    <t xml:space="preserve">Arnoud Bosch Hillegom Vereniging Docenten Assurantie- en Bankleer  (VDAB)   </t>
  </si>
  <si>
    <t>Arnoud Bosch</t>
  </si>
  <si>
    <t>De pensioengrondslag (PG) wordt bepaald door Jaarsalaris minus franchise</t>
  </si>
  <si>
    <t>Benodigd voor</t>
  </si>
  <si>
    <t>1€ Pensioen</t>
  </si>
  <si>
    <t>Uitsluitend kunnen de geel gemarkeerde vlakken worden gewijzigd en zal de aangebrachte wijziging direct worden doorgerekend</t>
  </si>
  <si>
    <t>De dekkingsgraad in deze berekening is uitsluitend van toepassing op de pensioenpremie en de jaarlijks aangegeven rendement</t>
  </si>
  <si>
    <t>van Pensioen</t>
  </si>
  <si>
    <t>Inlegpremie %</t>
  </si>
  <si>
    <t>Degressieve</t>
  </si>
  <si>
    <t>Opbouw % jaar</t>
  </si>
  <si>
    <t>Opbouw % jr</t>
  </si>
  <si>
    <t>PG</t>
  </si>
  <si>
    <t>Jaar</t>
  </si>
  <si>
    <t>Premie%</t>
  </si>
  <si>
    <t>Totaal</t>
  </si>
  <si>
    <t>Fair Prem</t>
  </si>
  <si>
    <t>Ver Fair</t>
  </si>
  <si>
    <t>Kapitaal</t>
  </si>
  <si>
    <t>Inlegpremie%</t>
  </si>
  <si>
    <t>Effectief %/jr</t>
  </si>
  <si>
    <t>Kosten Jaarlijks%</t>
  </si>
  <si>
    <t>DNB Tab-1</t>
  </si>
  <si>
    <t>DNB Tab-3</t>
  </si>
  <si>
    <t>Adm-Vermogens</t>
  </si>
  <si>
    <t>Pensioenpremie  %  door</t>
  </si>
  <si>
    <t xml:space="preserve">Werknemer </t>
  </si>
  <si>
    <t>Correctie</t>
  </si>
  <si>
    <t>Looninflatie</t>
  </si>
  <si>
    <t>Werkgever</t>
  </si>
  <si>
    <t>KapFair</t>
  </si>
  <si>
    <t>KapDoors</t>
  </si>
  <si>
    <t>Factor FD</t>
  </si>
  <si>
    <t>Kapitaal Actuariële  =  Doorsnee  J/N</t>
  </si>
  <si>
    <t>Opbouwjaren tot:</t>
  </si>
  <si>
    <t>Rentejaren tot:</t>
  </si>
  <si>
    <t xml:space="preserve">Opbouw tot aan Pensioenjaar: </t>
  </si>
  <si>
    <t>67 Jaar</t>
  </si>
  <si>
    <t>n</t>
  </si>
  <si>
    <t>62 jaar</t>
  </si>
  <si>
    <t>63 jaar</t>
  </si>
  <si>
    <t>64 jaar</t>
  </si>
  <si>
    <t>65 jaar</t>
  </si>
  <si>
    <t>66 jaar</t>
  </si>
  <si>
    <t>68 jaar</t>
  </si>
  <si>
    <t>69 jaar</t>
  </si>
  <si>
    <t>70 jaar</t>
  </si>
  <si>
    <t>71 jaar</t>
  </si>
  <si>
    <t>72 jaar</t>
  </si>
  <si>
    <t>Aanvangsleeftijd Pensioen van 62 tm 72 jaar</t>
  </si>
  <si>
    <t xml:space="preserve">Er wordt jaarlijks een kapitaal gestort voor 1 EURO Pensioenopbouw </t>
  </si>
  <si>
    <t>Franchise %/jr</t>
  </si>
  <si>
    <t>Inflatie loon-en</t>
  </si>
  <si>
    <t>Elke leeftijdsjaar wordt zelfstandig (horizontaal) berekent naar de pensioen aanvangsleeftijd voor het eindkapitaal en dekkingsgraad.</t>
  </si>
  <si>
    <t>Het opbouwpercentage over de Pensioen Grondslag  wordt jaarlijks lineair verlaagd met een vast aangegeven degressieve opbouwpercentage</t>
  </si>
  <si>
    <t>Pensioendatum</t>
  </si>
  <si>
    <t>Leeftijd/jr</t>
  </si>
  <si>
    <t xml:space="preserve"> Pensioen</t>
  </si>
  <si>
    <t>Aanvang van</t>
  </si>
  <si>
    <t>DNB Tab-4</t>
  </si>
  <si>
    <t>DNB D66 Tab-2</t>
  </si>
  <si>
    <t>Tabel 1 2 3 4</t>
  </si>
  <si>
    <t>DNB Occasional Studies</t>
  </si>
  <si>
    <t>DNB 2015 Actuariële pensioenpremie blz.32-35</t>
  </si>
  <si>
    <t>Cum</t>
  </si>
  <si>
    <t xml:space="preserve">Premie </t>
  </si>
  <si>
    <t>Fair</t>
  </si>
  <si>
    <t>Cumulatief bij</t>
  </si>
  <si>
    <t xml:space="preserve">Pensioen </t>
  </si>
  <si>
    <t>Actuariële</t>
  </si>
  <si>
    <t>Kapital</t>
  </si>
  <si>
    <t>Aanvang</t>
  </si>
  <si>
    <t>Premie</t>
  </si>
  <si>
    <t>Dekking</t>
  </si>
  <si>
    <t>Aanv Kap Pens</t>
  </si>
  <si>
    <t>Gegevens verwerkt volgens DNB actuarieel Occasional studie 2015</t>
  </si>
  <si>
    <t>Gegevens verwerkt volgens VDAB-Talent Pensioenberekening</t>
  </si>
  <si>
    <t>Gegevens ingevoerd Arnoud VDAB Pensioenopbouw</t>
  </si>
  <si>
    <t>versie 07-03-22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</si>
</sst>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00"/>
    <numFmt numFmtId="167" formatCode="0.0000"/>
    <numFmt numFmtId="168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8.7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75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0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3" fontId="0" fillId="5" borderId="7" xfId="0" applyNumberForma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3" fontId="0" fillId="5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6" xfId="0" applyBorder="1"/>
    <xf numFmtId="0" fontId="0" fillId="0" borderId="2" xfId="0" applyBorder="1"/>
    <xf numFmtId="0" fontId="0" fillId="0" borderId="14" xfId="0" applyBorder="1"/>
    <xf numFmtId="0" fontId="1" fillId="0" borderId="15" xfId="0" applyFon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4" fontId="0" fillId="6" borderId="0" xfId="0" applyNumberFormat="1" applyFill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2" fontId="0" fillId="6" borderId="11" xfId="0" applyNumberFormat="1" applyFill="1" applyBorder="1" applyAlignment="1">
      <alignment horizontal="center" vertical="center"/>
    </xf>
    <xf numFmtId="4" fontId="0" fillId="6" borderId="3" xfId="0" applyNumberFormat="1" applyFill="1" applyBorder="1" applyAlignment="1">
      <alignment horizontal="center" vertical="center"/>
    </xf>
    <xf numFmtId="166" fontId="0" fillId="6" borderId="3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22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3" fontId="5" fillId="0" borderId="11" xfId="0" applyNumberFormat="1" applyFont="1" applyBorder="1" applyAlignment="1" applyProtection="1">
      <alignment horizontal="center" vertical="center"/>
    </xf>
    <xf numFmtId="3" fontId="5" fillId="0" borderId="0" xfId="0" applyNumberFormat="1" applyFont="1" applyAlignment="1" applyProtection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3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2" fontId="5" fillId="2" borderId="12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3" fontId="0" fillId="5" borderId="23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1" fontId="0" fillId="2" borderId="0" xfId="0" applyNumberFormat="1" applyFill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2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6" fontId="5" fillId="2" borderId="5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0" borderId="0" xfId="0" applyNumberFormat="1"/>
    <xf numFmtId="2" fontId="0" fillId="2" borderId="0" xfId="0" applyNumberFormat="1" applyFill="1" applyProtection="1">
      <protection locked="0"/>
    </xf>
    <xf numFmtId="3" fontId="0" fillId="5" borderId="0" xfId="0" applyNumberFormat="1" applyFill="1" applyAlignment="1">
      <alignment horizontal="center" vertical="center"/>
    </xf>
    <xf numFmtId="0" fontId="0" fillId="5" borderId="0" xfId="0" applyFill="1"/>
    <xf numFmtId="1" fontId="0" fillId="5" borderId="0" xfId="0" applyNumberForma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0" fillId="3" borderId="0" xfId="0" applyFill="1"/>
    <xf numFmtId="1" fontId="5" fillId="0" borderId="0" xfId="0" applyNumberFormat="1" applyFont="1" applyAlignment="1">
      <alignment horizontal="center" vertical="center"/>
    </xf>
    <xf numFmtId="1" fontId="0" fillId="0" borderId="0" xfId="0" applyNumberFormat="1"/>
    <xf numFmtId="0" fontId="5" fillId="0" borderId="0" xfId="0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>
      <alignment horizontal="center" vertical="center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2" fontId="5" fillId="6" borderId="29" xfId="0" applyNumberFormat="1" applyFont="1" applyFill="1" applyBorder="1" applyAlignment="1" applyProtection="1">
      <alignment horizontal="center" vertical="center"/>
    </xf>
    <xf numFmtId="2" fontId="5" fillId="2" borderId="28" xfId="0" applyNumberFormat="1" applyFont="1" applyFill="1" applyBorder="1" applyAlignment="1" applyProtection="1">
      <alignment horizontal="center" vertical="center"/>
      <protection locked="0"/>
    </xf>
    <xf numFmtId="167" fontId="5" fillId="6" borderId="5" xfId="0" applyNumberFormat="1" applyFont="1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0" fillId="0" borderId="0" xfId="0" applyProtection="1"/>
    <xf numFmtId="4" fontId="5" fillId="2" borderId="4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5" fillId="2" borderId="3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3" borderId="0" xfId="0" applyFill="1" applyBorder="1" applyProtection="1">
      <protection locked="0"/>
    </xf>
    <xf numFmtId="165" fontId="0" fillId="6" borderId="0" xfId="0" applyNumberFormat="1" applyFill="1" applyAlignment="1">
      <alignment horizontal="center"/>
    </xf>
    <xf numFmtId="49" fontId="10" fillId="3" borderId="0" xfId="0" applyNumberFormat="1" applyFont="1" applyFill="1" applyAlignment="1" applyProtection="1">
      <alignment horizontal="center" vertical="center"/>
    </xf>
    <xf numFmtId="49" fontId="8" fillId="3" borderId="0" xfId="0" applyNumberFormat="1" applyFont="1" applyFill="1" applyAlignment="1" applyProtection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8" borderId="0" xfId="0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0" fillId="0" borderId="7" xfId="0" applyBorder="1"/>
    <xf numFmtId="3" fontId="0" fillId="6" borderId="3" xfId="0" applyNumberFormat="1" applyFill="1" applyBorder="1" applyAlignment="1">
      <alignment horizontal="center" vertical="center"/>
    </xf>
    <xf numFmtId="165" fontId="0" fillId="6" borderId="4" xfId="0" applyNumberFormat="1" applyFill="1" applyBorder="1" applyAlignment="1">
      <alignment horizontal="center"/>
    </xf>
    <xf numFmtId="1" fontId="0" fillId="3" borderId="0" xfId="0" applyNumberFormat="1" applyFill="1" applyAlignment="1" applyProtection="1">
      <alignment horizontal="left" vertical="center"/>
    </xf>
    <xf numFmtId="1" fontId="0" fillId="0" borderId="0" xfId="0" applyNumberFormat="1" applyFont="1" applyFill="1" applyAlignment="1" applyProtection="1">
      <alignment horizontal="left" vertical="center"/>
    </xf>
    <xf numFmtId="1" fontId="0" fillId="2" borderId="0" xfId="0" applyNumberFormat="1" applyFill="1" applyAlignment="1" applyProtection="1">
      <alignment horizontal="center" vertical="center"/>
      <protection locked="0"/>
    </xf>
    <xf numFmtId="0" fontId="1" fillId="5" borderId="0" xfId="0" applyFont="1" applyFill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 vertical="center"/>
    </xf>
    <xf numFmtId="1" fontId="0" fillId="5" borderId="0" xfId="0" applyNumberFormat="1" applyFill="1" applyBorder="1" applyAlignment="1" applyProtection="1">
      <alignment horizontal="center" vertical="center"/>
      <protection locked="0"/>
    </xf>
    <xf numFmtId="164" fontId="0" fillId="5" borderId="0" xfId="0" applyNumberForma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3" fontId="0" fillId="6" borderId="0" xfId="0" applyNumberFormat="1" applyFill="1" applyAlignment="1">
      <alignment horizontal="center"/>
    </xf>
    <xf numFmtId="2" fontId="1" fillId="2" borderId="7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9" borderId="18" xfId="0" applyFont="1" applyFill="1" applyBorder="1" applyAlignment="1" applyProtection="1">
      <alignment horizontal="center" vertical="center"/>
    </xf>
    <xf numFmtId="0" fontId="5" fillId="9" borderId="12" xfId="0" applyFont="1" applyFill="1" applyBorder="1" applyAlignment="1" applyProtection="1">
      <alignment horizontal="center" vertical="center"/>
    </xf>
    <xf numFmtId="2" fontId="5" fillId="9" borderId="11" xfId="0" applyNumberFormat="1" applyFont="1" applyFill="1" applyBorder="1" applyAlignment="1" applyProtection="1">
      <alignment horizontal="center" vertical="center"/>
    </xf>
    <xf numFmtId="1" fontId="0" fillId="10" borderId="0" xfId="0" applyNumberForma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1" fontId="1" fillId="5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2" fontId="0" fillId="6" borderId="0" xfId="0" applyNumberFormat="1" applyFill="1"/>
    <xf numFmtId="2" fontId="0" fillId="5" borderId="0" xfId="0" applyNumberForma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0" fillId="11" borderId="0" xfId="0" applyNumberFormat="1" applyFill="1"/>
    <xf numFmtId="3" fontId="5" fillId="0" borderId="31" xfId="0" applyNumberFormat="1" applyFont="1" applyBorder="1" applyAlignment="1" applyProtection="1">
      <alignment horizontal="center" vertical="center"/>
    </xf>
    <xf numFmtId="3" fontId="16" fillId="12" borderId="31" xfId="0" applyNumberFormat="1" applyFont="1" applyFill="1" applyBorder="1" applyAlignment="1" applyProtection="1">
      <alignment horizontal="center" vertical="center"/>
    </xf>
    <xf numFmtId="3" fontId="5" fillId="12" borderId="32" xfId="0" applyNumberFormat="1" applyFont="1" applyFill="1" applyBorder="1" applyAlignment="1" applyProtection="1">
      <alignment horizontal="center" vertical="center"/>
    </xf>
    <xf numFmtId="2" fontId="5" fillId="12" borderId="11" xfId="0" applyNumberFormat="1" applyFont="1" applyFill="1" applyBorder="1" applyAlignment="1" applyProtection="1">
      <alignment horizontal="center" vertical="center"/>
    </xf>
    <xf numFmtId="2" fontId="5" fillId="13" borderId="11" xfId="0" applyNumberFormat="1" applyFont="1" applyFill="1" applyBorder="1" applyAlignment="1" applyProtection="1">
      <alignment horizontal="center" vertical="center"/>
    </xf>
    <xf numFmtId="1" fontId="5" fillId="13" borderId="32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5" fillId="12" borderId="31" xfId="0" applyFont="1" applyFill="1" applyBorder="1" applyAlignment="1" applyProtection="1">
      <alignment horizontal="center" vertical="center"/>
    </xf>
    <xf numFmtId="0" fontId="5" fillId="14" borderId="31" xfId="0" applyFont="1" applyFill="1" applyBorder="1" applyAlignment="1" applyProtection="1">
      <alignment horizontal="center" vertical="center"/>
    </xf>
    <xf numFmtId="3" fontId="5" fillId="14" borderId="32" xfId="0" applyNumberFormat="1" applyFont="1" applyFill="1" applyBorder="1" applyAlignment="1" applyProtection="1">
      <alignment horizontal="center" vertical="center"/>
    </xf>
    <xf numFmtId="0" fontId="17" fillId="0" borderId="0" xfId="1" applyFont="1" applyAlignment="1" applyProtection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</xf>
    <xf numFmtId="168" fontId="5" fillId="9" borderId="11" xfId="0" applyNumberFormat="1" applyFont="1" applyFill="1" applyBorder="1" applyAlignment="1" applyProtection="1">
      <alignment horizontal="center" vertical="center"/>
      <protection locked="0"/>
    </xf>
    <xf numFmtId="2" fontId="0" fillId="5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0" fillId="15" borderId="11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" fontId="0" fillId="15" borderId="11" xfId="0" applyNumberForma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3" fontId="1" fillId="5" borderId="1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3" fontId="0" fillId="15" borderId="12" xfId="0" applyNumberForma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15" borderId="12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15" borderId="11" xfId="0" applyNumberFormat="1" applyFill="1" applyBorder="1" applyAlignment="1">
      <alignment horizontal="center" vertical="center"/>
    </xf>
    <xf numFmtId="2" fontId="0" fillId="15" borderId="12" xfId="0" applyNumberFormat="1" applyFill="1" applyBorder="1" applyAlignment="1">
      <alignment horizontal="center" vertical="center"/>
    </xf>
    <xf numFmtId="3" fontId="1" fillId="15" borderId="11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1" fillId="15" borderId="12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1" fontId="0" fillId="12" borderId="0" xfId="0" applyNumberFormat="1" applyFill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1" fontId="0" fillId="5" borderId="1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16" borderId="33" xfId="0" applyFill="1" applyBorder="1" applyAlignment="1">
      <alignment horizontal="center" vertical="center"/>
    </xf>
    <xf numFmtId="0" fontId="0" fillId="16" borderId="34" xfId="0" applyFill="1" applyBorder="1" applyAlignment="1">
      <alignment horizontal="center" vertical="center"/>
    </xf>
    <xf numFmtId="0" fontId="5" fillId="0" borderId="0" xfId="0" applyFont="1" applyAlignment="1" applyProtection="1">
      <alignment vertical="center"/>
    </xf>
    <xf numFmtId="2" fontId="0" fillId="16" borderId="11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2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18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 applyProtection="1">
      <alignment horizontal="center" vertical="center"/>
      <protection locked="0"/>
    </xf>
    <xf numFmtId="2" fontId="5" fillId="6" borderId="11" xfId="0" applyNumberFormat="1" applyFont="1" applyFill="1" applyBorder="1" applyAlignment="1">
      <alignment horizontal="center" vertical="center"/>
    </xf>
    <xf numFmtId="0" fontId="17" fillId="0" borderId="0" xfId="1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7" borderId="8" xfId="0" applyFont="1" applyFill="1" applyBorder="1" applyAlignment="1" applyProtection="1">
      <alignment horizontal="center" vertical="center"/>
    </xf>
    <xf numFmtId="0" fontId="5" fillId="7" borderId="23" xfId="0" applyFont="1" applyFill="1" applyBorder="1" applyAlignment="1" applyProtection="1">
      <alignment horizontal="center" vertical="center"/>
    </xf>
    <xf numFmtId="0" fontId="14" fillId="5" borderId="8" xfId="0" applyFont="1" applyFill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horizontal="center" vertical="center"/>
    </xf>
    <xf numFmtId="0" fontId="14" fillId="5" borderId="17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/>
      <protection locked="0"/>
    </xf>
    <xf numFmtId="0" fontId="5" fillId="6" borderId="19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5" fillId="6" borderId="25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15" fillId="9" borderId="11" xfId="0" applyFont="1" applyFill="1" applyBorder="1" applyAlignment="1" applyProtection="1">
      <alignment horizontal="center" vertical="center"/>
    </xf>
    <xf numFmtId="0" fontId="12" fillId="9" borderId="1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memomix.nl/VDAB-Talent/ABP/DNB/DNB_Occasional_Studies_V1.pdf" TargetMode="External"/><Relationship Id="rId7" Type="http://schemas.openxmlformats.org/officeDocument/2006/relationships/hyperlink" Target="https://www.memomix.nl/VDAB-Talent/ABP/DNB/DNB-Pernsioen-V1-V2-V3-V4-Occasional_Studies.pdf" TargetMode="External"/><Relationship Id="rId2" Type="http://schemas.openxmlformats.org/officeDocument/2006/relationships/hyperlink" Target="https://www.stichtingpensioenbehoud.nl/images/persberichten/2015/juni/DNB%20rapport%20De%20vermogensopbouw%20van%20huishoudens%20is%20het%20beleid%20in%20balans_tcm46-319011%20Occ-Studies%20Vol-13-1-2015.pdf" TargetMode="External"/><Relationship Id="rId1" Type="http://schemas.openxmlformats.org/officeDocument/2006/relationships/hyperlink" Target="http://www.pensioen-software.nl/" TargetMode="External"/><Relationship Id="rId6" Type="http://schemas.openxmlformats.org/officeDocument/2006/relationships/hyperlink" Target="https://www.memomix.nl/VDAB-Talent/ABP/DNB/DNB_Occasional_Studies_V4.pdf" TargetMode="External"/><Relationship Id="rId5" Type="http://schemas.openxmlformats.org/officeDocument/2006/relationships/hyperlink" Target="https://www.memomix.nl/VDAB-Talent/ABP/DNB/DNB_Occasional_Studies_V3.pdf" TargetMode="External"/><Relationship Id="rId4" Type="http://schemas.openxmlformats.org/officeDocument/2006/relationships/hyperlink" Target="https://www.memomix.nl/VDAB-Talent/ABP/DNB/DNB_Occasional_Studies_V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showRowColHeaders="0" tabSelected="1" workbookViewId="0">
      <selection activeCell="S23" sqref="S23"/>
    </sheetView>
  </sheetViews>
  <sheetFormatPr defaultColWidth="9.109375" defaultRowHeight="14.4" x14ac:dyDescent="0.3"/>
  <cols>
    <col min="1" max="1" width="2" style="71" customWidth="1"/>
    <col min="2" max="2" width="11.5546875" style="71" customWidth="1"/>
    <col min="3" max="3" width="8.44140625" style="71" bestFit="1" customWidth="1"/>
    <col min="4" max="4" width="9" style="71" bestFit="1" customWidth="1"/>
    <col min="5" max="5" width="9.6640625" style="71" customWidth="1"/>
    <col min="6" max="6" width="11.109375" style="71" customWidth="1"/>
    <col min="7" max="7" width="10.6640625" style="71" bestFit="1" customWidth="1"/>
    <col min="8" max="8" width="4.109375" style="71" customWidth="1"/>
    <col min="9" max="9" width="11.5546875" style="71" bestFit="1" customWidth="1"/>
    <col min="10" max="10" width="10.88671875" style="71" bestFit="1" customWidth="1"/>
    <col min="11" max="11" width="12.44140625" style="71" bestFit="1" customWidth="1"/>
    <col min="12" max="12" width="3.88671875" style="71" customWidth="1"/>
    <col min="13" max="13" width="12.109375" style="71" bestFit="1" customWidth="1"/>
    <col min="14" max="14" width="1.5546875" style="71" customWidth="1"/>
    <col min="15" max="15" width="11.33203125" style="71" bestFit="1" customWidth="1"/>
    <col min="16" max="16" width="10.6640625" style="71" bestFit="1" customWidth="1"/>
    <col min="17" max="17" width="10.88671875" style="71" bestFit="1" customWidth="1"/>
    <col min="18" max="18" width="2.109375" style="71" customWidth="1"/>
    <col min="19" max="19" width="13.88671875" style="71" bestFit="1" customWidth="1"/>
    <col min="20" max="20" width="3.109375" style="71" customWidth="1"/>
    <col min="21" max="16384" width="9.109375" style="71"/>
  </cols>
  <sheetData>
    <row r="1" spans="1:28" ht="8.1" customHeight="1" x14ac:dyDescent="0.3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76"/>
      <c r="P1" s="76"/>
      <c r="Q1" s="76"/>
      <c r="R1" s="76"/>
      <c r="S1" s="76"/>
      <c r="T1" s="76"/>
    </row>
    <row r="2" spans="1:28" x14ac:dyDescent="0.3">
      <c r="A2" s="131"/>
      <c r="B2" s="94" t="str">
        <f>Blad1!C82</f>
        <v>Aanvangs</v>
      </c>
      <c r="C2" s="77" t="str">
        <f>Blad1!D82</f>
        <v>Salaris</v>
      </c>
      <c r="D2" s="77" t="str">
        <f>Blad1!F82</f>
        <v>Pensioen</v>
      </c>
      <c r="E2" s="77" t="str">
        <f>Blad1!H82</f>
        <v>Pensioen</v>
      </c>
      <c r="F2" s="77" t="str">
        <f>Blad1!K82</f>
        <v>Kapitaal bij</v>
      </c>
      <c r="G2" s="77" t="str">
        <f>Blad1!L82</f>
        <v>Cumulatief</v>
      </c>
      <c r="H2" s="78"/>
      <c r="I2" s="79" t="str">
        <f>Blad1!P82</f>
        <v>Pensioen</v>
      </c>
      <c r="J2" s="77" t="str">
        <f>Blad1!Q82</f>
        <v>Aanvang van</v>
      </c>
      <c r="K2" s="77" t="str">
        <f>Blad1!S82</f>
        <v>Cumulatief bij</v>
      </c>
      <c r="L2" s="80"/>
      <c r="M2" s="187" t="str">
        <f>Blad1!T82</f>
        <v>Inlegpremie %</v>
      </c>
      <c r="N2" s="131"/>
      <c r="O2" s="271" t="s">
        <v>132</v>
      </c>
      <c r="P2" s="271" t="s">
        <v>21</v>
      </c>
      <c r="Q2" s="271" t="s">
        <v>3</v>
      </c>
      <c r="R2" s="127"/>
      <c r="S2" s="271" t="s">
        <v>82</v>
      </c>
      <c r="T2" s="132"/>
      <c r="AB2" s="93">
        <v>17.29785</v>
      </c>
    </row>
    <row r="3" spans="1:28" x14ac:dyDescent="0.3">
      <c r="A3" s="131"/>
      <c r="B3" s="81" t="str">
        <f>Blad1!C83</f>
        <v>Leeftijd</v>
      </c>
      <c r="C3" s="81" t="str">
        <f>Blad1!D83</f>
        <v>per/jaar</v>
      </c>
      <c r="D3" s="81" t="str">
        <f>Blad1!F83</f>
        <v>Grondslag</v>
      </c>
      <c r="E3" s="81" t="str">
        <f>Blad1!H83</f>
        <v>Premie/jr</v>
      </c>
      <c r="F3" s="81" t="str">
        <f>Blad1!K83</f>
        <v>Pensioen</v>
      </c>
      <c r="G3" s="81" t="str">
        <f>Blad1!L83</f>
        <v>Kapitaal</v>
      </c>
      <c r="H3" s="78"/>
      <c r="I3" s="82" t="str">
        <f>Blad1!P83</f>
        <v>Leeftijd/jr</v>
      </c>
      <c r="J3" s="81" t="str">
        <f>Blad1!Q83</f>
        <v xml:space="preserve"> Pensioen</v>
      </c>
      <c r="K3" s="81" t="str">
        <f>Blad1!S83</f>
        <v xml:space="preserve">Pensioen </v>
      </c>
      <c r="L3" s="80"/>
      <c r="M3" s="188" t="str">
        <f>Blad1!T83</f>
        <v>van Pensioen</v>
      </c>
      <c r="N3" s="131"/>
      <c r="O3" s="272" t="s">
        <v>7</v>
      </c>
      <c r="P3" s="272" t="s">
        <v>0</v>
      </c>
      <c r="Q3" s="272" t="s">
        <v>81</v>
      </c>
      <c r="R3" s="127"/>
      <c r="S3" s="272" t="s">
        <v>70</v>
      </c>
      <c r="T3" s="132"/>
    </row>
    <row r="4" spans="1:28" x14ac:dyDescent="0.3">
      <c r="A4" s="131"/>
      <c r="B4" s="83">
        <f>Blad1!C84</f>
        <v>20</v>
      </c>
      <c r="C4" s="84">
        <f>Blad1!D84</f>
        <v>30802</v>
      </c>
      <c r="D4" s="84">
        <f>Blad1!F84</f>
        <v>16000</v>
      </c>
      <c r="E4" s="84">
        <f>Blad1!H84</f>
        <v>4200</v>
      </c>
      <c r="F4" s="84">
        <f>Blad1!K84</f>
        <v>14691.297031264798</v>
      </c>
      <c r="G4" s="84">
        <f>Blad1!L84</f>
        <v>14691.297031264798</v>
      </c>
      <c r="H4" s="85"/>
      <c r="I4" s="84">
        <f>Blad1!P84</f>
        <v>300</v>
      </c>
      <c r="J4" s="84">
        <f>Blad1!R84</f>
        <v>1049.378359376057</v>
      </c>
      <c r="K4" s="84">
        <f>Blad1!S84</f>
        <v>1049.378359376057</v>
      </c>
      <c r="L4" s="86"/>
      <c r="M4" s="189">
        <f>Blad1!T84</f>
        <v>90.322580645161281</v>
      </c>
      <c r="N4" s="131"/>
      <c r="O4" s="128">
        <f>Blad3!S2</f>
        <v>1910.4045633788226</v>
      </c>
      <c r="P4" s="156">
        <f>Blad3!T2</f>
        <v>6682.4573548766712</v>
      </c>
      <c r="Q4" s="128">
        <f>Blad3!U2</f>
        <v>6682.4573548766712</v>
      </c>
      <c r="R4" s="125"/>
      <c r="S4" s="273">
        <f>Blad3!T2/(Blad3!M2*Blad3!$N$60)*100</f>
        <v>41.083969104920911</v>
      </c>
      <c r="T4" s="132"/>
    </row>
    <row r="5" spans="1:28" x14ac:dyDescent="0.3">
      <c r="A5" s="131"/>
      <c r="B5" s="83">
        <f>Blad1!C94</f>
        <v>30</v>
      </c>
      <c r="C5" s="84">
        <f>Blad1!D94</f>
        <v>37547.466124678511</v>
      </c>
      <c r="D5" s="84">
        <f>Blad1!F94</f>
        <v>19503.910719916112</v>
      </c>
      <c r="E5" s="84">
        <f>Blad1!H94</f>
        <v>5119.7765639779791</v>
      </c>
      <c r="F5" s="84">
        <f>Blad1!K94</f>
        <v>13720.104560120002</v>
      </c>
      <c r="G5" s="84">
        <f>Blad1!L94</f>
        <v>156207.9142552221</v>
      </c>
      <c r="H5" s="85"/>
      <c r="I5" s="84">
        <f>Blad1!P94</f>
        <v>365.69832599842709</v>
      </c>
      <c r="J5" s="84">
        <f>Blad1!R94</f>
        <v>980.00746858000025</v>
      </c>
      <c r="K5" s="84">
        <f>Blad1!S94</f>
        <v>11157.708161087294</v>
      </c>
      <c r="L5" s="86"/>
      <c r="M5" s="189">
        <f>Blad1!T94</f>
        <v>90.322580645161281</v>
      </c>
      <c r="N5" s="131"/>
      <c r="O5" s="128">
        <f>Blad3!S12</f>
        <v>3039.7054380422196</v>
      </c>
      <c r="P5" s="156">
        <f>Blad3!T12</f>
        <v>8145.8782274475852</v>
      </c>
      <c r="Q5" s="128">
        <f>Blad3!U12</f>
        <v>81316.921855993351</v>
      </c>
      <c r="R5" s="125"/>
      <c r="S5" s="273">
        <f>Blad3!T12/(Blad3!M12*Blad3!$N$60)*100</f>
        <v>53.62617609073547</v>
      </c>
      <c r="T5" s="132"/>
    </row>
    <row r="6" spans="1:28" x14ac:dyDescent="0.3">
      <c r="A6" s="131"/>
      <c r="B6" s="83">
        <f>Blad1!C104</f>
        <v>40</v>
      </c>
      <c r="C6" s="84">
        <f>Blad1!D104</f>
        <v>45770.151690925275</v>
      </c>
      <c r="D6" s="84">
        <f>Blad1!F104</f>
        <v>23775.158335653668</v>
      </c>
      <c r="E6" s="84">
        <f>Blad1!H104</f>
        <v>6240.9790631090882</v>
      </c>
      <c r="F6" s="84">
        <f>Blad1!K104</f>
        <v>12813.114372408803</v>
      </c>
      <c r="G6" s="84">
        <f>Blad1!L104</f>
        <v>288369.34160742757</v>
      </c>
      <c r="H6" s="85"/>
      <c r="I6" s="84">
        <f>Blad1!P104</f>
        <v>445.78421879350628</v>
      </c>
      <c r="J6" s="84">
        <f>Blad1!R104</f>
        <v>915.22245517205738</v>
      </c>
      <c r="K6" s="84">
        <f>Blad1!S104</f>
        <v>20597.81011481625</v>
      </c>
      <c r="L6" s="86"/>
      <c r="M6" s="189">
        <f>Blad1!T104</f>
        <v>90.322580645161281</v>
      </c>
      <c r="N6" s="131"/>
      <c r="O6" s="128">
        <f>Blad3!S22</f>
        <v>4836.5719634387424</v>
      </c>
      <c r="P6" s="156">
        <f>Blad3!T22</f>
        <v>9929.7801052153918</v>
      </c>
      <c r="Q6" s="128">
        <f>Blad3!U22</f>
        <v>172295.91762215135</v>
      </c>
      <c r="R6" s="125"/>
      <c r="S6" s="273">
        <f>Blad3!T22/(Blad3!M22*Blad3!$N$60)*100</f>
        <v>69.997296385127456</v>
      </c>
      <c r="T6" s="132"/>
    </row>
    <row r="7" spans="1:28" x14ac:dyDescent="0.3">
      <c r="A7" s="131"/>
      <c r="B7" s="83">
        <f>Blad1!C114</f>
        <v>50</v>
      </c>
      <c r="C7" s="84">
        <f>Blad1!D114</f>
        <v>55793.559513551518</v>
      </c>
      <c r="D7" s="84">
        <f>Blad1!F114</f>
        <v>28981.785345653665</v>
      </c>
      <c r="E7" s="84">
        <f>Blad1!H114</f>
        <v>7607.7186532340875</v>
      </c>
      <c r="F7" s="84">
        <f>Blad1!K114</f>
        <v>11966.082270075141</v>
      </c>
      <c r="G7" s="84">
        <f>Blad1!L114</f>
        <v>411794.01937604911</v>
      </c>
      <c r="H7" s="85"/>
      <c r="I7" s="84">
        <f>Blad1!P114</f>
        <v>543.40847523100626</v>
      </c>
      <c r="J7" s="84">
        <f>Blad1!R114</f>
        <v>854.7201621482244</v>
      </c>
      <c r="K7" s="84">
        <f>Blad1!S114</f>
        <v>29413.858526860637</v>
      </c>
      <c r="L7" s="86"/>
      <c r="M7" s="189">
        <f>Blad1!T114</f>
        <v>90.322580645161281</v>
      </c>
      <c r="N7" s="131"/>
      <c r="O7" s="128">
        <f>Blad3!S32</f>
        <v>7695.6234195468714</v>
      </c>
      <c r="P7" s="156">
        <f>Blad3!T32</f>
        <v>12104.346540032515</v>
      </c>
      <c r="Q7" s="128">
        <f>Blad3!U32</f>
        <v>283198.80579782469</v>
      </c>
      <c r="R7" s="125"/>
      <c r="S7" s="273">
        <f>Blad3!T32/(Blad3!M32*Blad3!$N$60)*100</f>
        <v>91.366229300728392</v>
      </c>
      <c r="T7" s="132"/>
    </row>
    <row r="8" spans="1:28" x14ac:dyDescent="0.3">
      <c r="A8" s="131"/>
      <c r="B8" s="83">
        <f>Blad1!C124</f>
        <v>60</v>
      </c>
      <c r="C8" s="84">
        <f>Blad1!D124</f>
        <v>68012.037718664724</v>
      </c>
      <c r="D8" s="84">
        <f>Blad1!F124</f>
        <v>35328.634617837663</v>
      </c>
      <c r="E8" s="84">
        <f>Blad1!H124</f>
        <v>9273.7665871823865</v>
      </c>
      <c r="F8" s="84">
        <f>Blad1!K124</f>
        <v>11175.044624790016</v>
      </c>
      <c r="G8" s="84">
        <f>Blad1!L124</f>
        <v>527059.50483188417</v>
      </c>
      <c r="H8" s="85"/>
      <c r="I8" s="84">
        <f>Blad1!P124</f>
        <v>662.41189908445619</v>
      </c>
      <c r="J8" s="84">
        <f>Blad1!R124</f>
        <v>798.21747319928681</v>
      </c>
      <c r="K8" s="84">
        <f>Blad1!S124</f>
        <v>37647.107487991714</v>
      </c>
      <c r="L8" s="86"/>
      <c r="M8" s="189">
        <f>Blad1!T124</f>
        <v>90.322580645161295</v>
      </c>
      <c r="N8" s="131"/>
      <c r="O8" s="128">
        <f>Blad3!S42</f>
        <v>12244.751088821136</v>
      </c>
      <c r="P8" s="128">
        <f>Blad3!T42</f>
        <v>14755.130889982491</v>
      </c>
      <c r="Q8" s="128">
        <f>Blad3!U42</f>
        <v>418388.80764527299</v>
      </c>
      <c r="R8" s="125"/>
      <c r="S8" s="273">
        <f>Blad3!T42/(Blad3!M42*Blad3!$N$60)*100</f>
        <v>119.25871837539945</v>
      </c>
      <c r="T8" s="132"/>
    </row>
    <row r="9" spans="1:28" x14ac:dyDescent="0.3">
      <c r="A9" s="131"/>
      <c r="B9" s="83">
        <f>Blad1!C71</f>
        <v>67</v>
      </c>
      <c r="C9" s="84">
        <f>Blad1!D150</f>
        <v>78124.452955052417</v>
      </c>
      <c r="D9" s="84">
        <f>Blad1!F150</f>
        <v>40581.496243128335</v>
      </c>
      <c r="E9" s="84">
        <f>Blad1!H150</f>
        <v>10652.642763821188</v>
      </c>
      <c r="F9" s="84">
        <f>Blad1!K150</f>
        <v>10652.642763821188</v>
      </c>
      <c r="G9" s="84">
        <f>Blad1!L150</f>
        <v>603180.91885877203</v>
      </c>
      <c r="H9" s="85"/>
      <c r="I9" s="84">
        <f>Blad1!P150</f>
        <v>760.90305455865632</v>
      </c>
      <c r="J9" s="84">
        <f>Blad1!R150</f>
        <v>760.90305455865632</v>
      </c>
      <c r="K9" s="84">
        <f>Blad1!S150</f>
        <v>43084.351347055133</v>
      </c>
      <c r="L9" s="86"/>
      <c r="M9" s="189">
        <f>Blad1!T125</f>
        <v>90.322580645161281</v>
      </c>
      <c r="N9" s="131"/>
      <c r="O9" s="128">
        <f>Blad3!$S$56</f>
        <v>16949.007377612059</v>
      </c>
      <c r="P9" s="128">
        <f>Blad3!$T$56</f>
        <v>16949.007377612059</v>
      </c>
      <c r="Q9" s="128">
        <f>Blad3!$U$56</f>
        <v>530276.50851438066</v>
      </c>
      <c r="R9" s="125"/>
      <c r="S9" s="273">
        <f>Blad3!T56/(Blad3!M56*Blad3!$N$60)*100</f>
        <v>143.70876031992842</v>
      </c>
      <c r="T9" s="132"/>
    </row>
    <row r="10" spans="1:28" s="73" customFormat="1" x14ac:dyDescent="0.3">
      <c r="A10" s="72"/>
      <c r="B10" s="78"/>
      <c r="C10" s="291" t="s">
        <v>63</v>
      </c>
      <c r="D10" s="291"/>
      <c r="E10" s="291"/>
      <c r="F10" s="291"/>
      <c r="G10" s="291"/>
      <c r="H10" s="78"/>
      <c r="I10" s="87" t="s">
        <v>64</v>
      </c>
      <c r="J10" s="88"/>
      <c r="K10" s="155"/>
      <c r="L10" s="88"/>
      <c r="M10" s="88"/>
      <c r="N10" s="72"/>
      <c r="O10" s="282" t="s">
        <v>126</v>
      </c>
      <c r="P10" s="283"/>
      <c r="Q10" s="284"/>
    </row>
    <row r="11" spans="1:28" x14ac:dyDescent="0.3">
      <c r="A11" s="131"/>
      <c r="B11" s="83">
        <f>Blad1!A150</f>
        <v>68</v>
      </c>
      <c r="C11" s="292" t="s">
        <v>3</v>
      </c>
      <c r="D11" s="293"/>
      <c r="E11" s="201">
        <f>Blad1!H137</f>
        <v>333284.78095487959</v>
      </c>
      <c r="F11" s="208" t="s">
        <v>81</v>
      </c>
      <c r="G11" s="203">
        <f>Blad1!K137</f>
        <v>603180.91885877191</v>
      </c>
      <c r="H11" s="78"/>
      <c r="I11" s="201">
        <f>Blad1!P137</f>
        <v>23806.055486556266</v>
      </c>
      <c r="J11" s="202" t="s">
        <v>0</v>
      </c>
      <c r="K11" s="203">
        <f>Blad1!R137</f>
        <v>43084.351070248347</v>
      </c>
      <c r="L11" s="86"/>
      <c r="M11" s="204">
        <f>Blad1!T137</f>
        <v>90.322581225462557</v>
      </c>
      <c r="N11" s="131"/>
      <c r="O11" s="209" t="s">
        <v>0</v>
      </c>
      <c r="P11" s="210">
        <f>Blad1!R137</f>
        <v>43084.351070248347</v>
      </c>
      <c r="Q11" s="206">
        <f>Blad3!$U$56</f>
        <v>530276.50851438066</v>
      </c>
      <c r="R11" s="207"/>
      <c r="S11" s="205">
        <f>(Q9/(K11*M15))*100</f>
        <v>79.405600400730066</v>
      </c>
      <c r="T11" s="76"/>
    </row>
    <row r="12" spans="1:28" ht="9.9" customHeight="1" thickBot="1" x14ac:dyDescent="0.35">
      <c r="A12" s="13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4"/>
      <c r="N12" s="131"/>
      <c r="O12" s="76"/>
      <c r="P12" s="76"/>
      <c r="Q12" s="76"/>
      <c r="R12" s="76"/>
      <c r="S12" s="76"/>
      <c r="T12" s="76"/>
    </row>
    <row r="13" spans="1:28" x14ac:dyDescent="0.3">
      <c r="A13" s="131"/>
      <c r="B13" s="151" t="s">
        <v>52</v>
      </c>
      <c r="C13" s="151"/>
      <c r="D13" s="151"/>
      <c r="E13" s="151"/>
      <c r="F13" s="151"/>
      <c r="G13" s="275"/>
      <c r="H13" s="151"/>
      <c r="I13" s="287" t="s">
        <v>60</v>
      </c>
      <c r="J13" s="288"/>
      <c r="K13" s="83" t="s">
        <v>61</v>
      </c>
      <c r="L13" s="151"/>
      <c r="M13" s="89" t="s">
        <v>66</v>
      </c>
      <c r="N13" s="133"/>
      <c r="O13" s="89" t="s">
        <v>115</v>
      </c>
      <c r="P13" s="144"/>
      <c r="Q13" s="211" t="s">
        <v>85</v>
      </c>
      <c r="R13" s="78"/>
      <c r="S13" s="211" t="s">
        <v>123</v>
      </c>
      <c r="T13" s="76"/>
    </row>
    <row r="14" spans="1:28" x14ac:dyDescent="0.3">
      <c r="A14" s="131"/>
      <c r="B14" s="294" t="s">
        <v>65</v>
      </c>
      <c r="C14" s="294"/>
      <c r="D14" s="294"/>
      <c r="E14" s="294"/>
      <c r="F14" s="294"/>
      <c r="G14" s="294"/>
      <c r="H14" s="295"/>
      <c r="I14" s="185" t="s">
        <v>57</v>
      </c>
      <c r="J14" s="98">
        <v>20</v>
      </c>
      <c r="K14" s="99">
        <v>0</v>
      </c>
      <c r="L14" s="132"/>
      <c r="M14" s="92" t="s">
        <v>67</v>
      </c>
      <c r="N14" s="131"/>
      <c r="O14" s="92" t="s">
        <v>114</v>
      </c>
      <c r="P14" s="144"/>
      <c r="Q14" s="211" t="s">
        <v>86</v>
      </c>
      <c r="R14" s="78"/>
      <c r="S14" s="211" t="s">
        <v>122</v>
      </c>
      <c r="T14" s="76"/>
      <c r="U14" s="73"/>
    </row>
    <row r="15" spans="1:28" ht="15" thickBot="1" x14ac:dyDescent="0.35">
      <c r="A15" s="131"/>
      <c r="B15" s="289" t="s">
        <v>113</v>
      </c>
      <c r="C15" s="290"/>
      <c r="D15" s="290"/>
      <c r="E15" s="290"/>
      <c r="F15" s="290"/>
      <c r="G15" s="214">
        <f>D19/E19</f>
        <v>14</v>
      </c>
      <c r="H15" s="186"/>
      <c r="I15" s="81" t="s">
        <v>57</v>
      </c>
      <c r="J15" s="98">
        <v>35</v>
      </c>
      <c r="K15" s="100">
        <v>0</v>
      </c>
      <c r="L15" s="132"/>
      <c r="M15" s="145">
        <v>15.5</v>
      </c>
      <c r="N15" s="131"/>
      <c r="O15" s="96">
        <v>2</v>
      </c>
      <c r="P15" s="135"/>
      <c r="Q15" s="212" t="s">
        <v>124</v>
      </c>
      <c r="R15" s="135"/>
      <c r="S15" s="211" t="s">
        <v>125</v>
      </c>
      <c r="T15" s="76"/>
    </row>
    <row r="16" spans="1:28" ht="9.9" customHeight="1" thickBot="1" x14ac:dyDescent="0.35">
      <c r="A16" s="131"/>
      <c r="B16" s="132"/>
      <c r="C16" s="132"/>
      <c r="D16" s="132"/>
      <c r="E16" s="132"/>
      <c r="F16" s="132"/>
      <c r="G16" s="132"/>
      <c r="H16" s="132"/>
      <c r="I16" s="74"/>
      <c r="J16" s="132"/>
      <c r="K16" s="75">
        <f ca="1">NOW()</f>
        <v>44637.499671527781</v>
      </c>
      <c r="L16" s="132"/>
      <c r="M16" s="274" t="s">
        <v>141</v>
      </c>
      <c r="N16" s="132"/>
      <c r="O16" s="265"/>
      <c r="P16" s="135"/>
      <c r="Q16" s="135"/>
      <c r="R16" s="135"/>
      <c r="S16" s="213"/>
      <c r="T16" s="76"/>
    </row>
    <row r="17" spans="1:20" x14ac:dyDescent="0.3">
      <c r="A17" s="131"/>
      <c r="B17" s="89" t="s">
        <v>46</v>
      </c>
      <c r="C17" s="149" t="s">
        <v>5</v>
      </c>
      <c r="D17" s="89" t="s">
        <v>0</v>
      </c>
      <c r="E17" s="150" t="s">
        <v>23</v>
      </c>
      <c r="F17" s="89" t="s">
        <v>46</v>
      </c>
      <c r="G17" s="89" t="s">
        <v>6</v>
      </c>
      <c r="H17" s="132"/>
      <c r="I17" s="89" t="s">
        <v>17</v>
      </c>
      <c r="J17" s="89" t="s">
        <v>56</v>
      </c>
      <c r="K17" s="110" t="str">
        <f>Blad1!V12</f>
        <v>Degressieve</v>
      </c>
      <c r="L17" s="132"/>
      <c r="M17" s="89" t="s">
        <v>58</v>
      </c>
      <c r="N17" s="131"/>
      <c r="O17" s="296" t="s">
        <v>88</v>
      </c>
      <c r="P17" s="297"/>
      <c r="Q17" s="150" t="s">
        <v>17</v>
      </c>
      <c r="R17" s="135"/>
      <c r="S17" s="89" t="s">
        <v>87</v>
      </c>
      <c r="T17" s="76"/>
    </row>
    <row r="18" spans="1:20" ht="15" thickBot="1" x14ac:dyDescent="0.35">
      <c r="A18" s="131"/>
      <c r="B18" s="92" t="s">
        <v>54</v>
      </c>
      <c r="C18" s="90" t="s">
        <v>13</v>
      </c>
      <c r="D18" s="92" t="s">
        <v>53</v>
      </c>
      <c r="E18" s="113" t="s">
        <v>24</v>
      </c>
      <c r="F18" s="92" t="s">
        <v>6</v>
      </c>
      <c r="G18" s="92" t="s">
        <v>55</v>
      </c>
      <c r="H18" s="132"/>
      <c r="I18" s="92" t="s">
        <v>62</v>
      </c>
      <c r="J18" s="92" t="s">
        <v>0</v>
      </c>
      <c r="K18" s="111" t="str">
        <f>Blad1!V13</f>
        <v>Opbouw % jr</v>
      </c>
      <c r="L18" s="132"/>
      <c r="M18" s="91" t="s">
        <v>59</v>
      </c>
      <c r="N18" s="131"/>
      <c r="O18" s="138" t="s">
        <v>89</v>
      </c>
      <c r="P18" s="139" t="s">
        <v>92</v>
      </c>
      <c r="Q18" s="113" t="s">
        <v>83</v>
      </c>
      <c r="R18" s="135"/>
      <c r="S18" s="92" t="s">
        <v>84</v>
      </c>
      <c r="T18" s="76"/>
    </row>
    <row r="19" spans="1:20" ht="15" thickBot="1" x14ac:dyDescent="0.35">
      <c r="A19" s="131"/>
      <c r="B19" s="95">
        <v>30802</v>
      </c>
      <c r="C19" s="112">
        <v>0</v>
      </c>
      <c r="D19" s="114">
        <v>26.25</v>
      </c>
      <c r="E19" s="115">
        <v>1.875</v>
      </c>
      <c r="F19" s="95">
        <v>14802</v>
      </c>
      <c r="G19" s="96">
        <v>0</v>
      </c>
      <c r="H19" s="132"/>
      <c r="I19" s="96">
        <v>2.7</v>
      </c>
      <c r="J19" s="96">
        <v>2.7</v>
      </c>
      <c r="K19" s="270">
        <v>0</v>
      </c>
      <c r="L19" s="132"/>
      <c r="M19" s="97" t="s">
        <v>101</v>
      </c>
      <c r="N19" s="131"/>
      <c r="O19" s="141">
        <v>0</v>
      </c>
      <c r="P19" s="140">
        <f>D19-O19</f>
        <v>26.25</v>
      </c>
      <c r="Q19" s="142">
        <f>(((1+I19/100)*(1-S19/100))-1)*100</f>
        <v>2.6999999999999913</v>
      </c>
      <c r="R19" s="135"/>
      <c r="S19" s="96">
        <v>0</v>
      </c>
      <c r="T19" s="76"/>
    </row>
    <row r="20" spans="1:20" ht="8.1" customHeight="1" x14ac:dyDescent="0.3">
      <c r="A20" s="131"/>
      <c r="B20" s="136"/>
      <c r="C20" s="136"/>
      <c r="D20" s="136"/>
      <c r="E20" s="136"/>
      <c r="F20" s="136"/>
      <c r="G20" s="136"/>
      <c r="H20" s="136"/>
      <c r="I20" s="135"/>
      <c r="J20" s="136"/>
      <c r="K20" s="136"/>
      <c r="L20" s="136"/>
      <c r="M20" s="137"/>
      <c r="N20" s="136"/>
      <c r="O20" s="135"/>
      <c r="P20" s="135"/>
      <c r="Q20" s="135"/>
      <c r="R20" s="135"/>
      <c r="S20" s="135"/>
      <c r="T20" s="76"/>
    </row>
    <row r="21" spans="1:20" ht="15" thickBot="1" x14ac:dyDescent="0.35">
      <c r="A21" s="76"/>
      <c r="B21" s="285" t="s">
        <v>68</v>
      </c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76"/>
      <c r="O21" s="298"/>
      <c r="P21" s="298"/>
      <c r="Q21" s="298"/>
      <c r="R21" s="152"/>
      <c r="S21" s="135"/>
      <c r="T21" s="76"/>
    </row>
    <row r="22" spans="1:20" ht="15" thickBot="1" x14ac:dyDescent="0.35">
      <c r="A22" s="76"/>
      <c r="B22" s="285" t="s">
        <v>116</v>
      </c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76"/>
      <c r="O22" s="278" t="s">
        <v>112</v>
      </c>
      <c r="P22" s="279"/>
      <c r="Q22" s="280"/>
      <c r="R22" s="135"/>
      <c r="S22" s="181">
        <v>68</v>
      </c>
      <c r="T22" s="76"/>
    </row>
    <row r="23" spans="1:20" ht="15" thickBot="1" x14ac:dyDescent="0.35">
      <c r="A23" s="76"/>
      <c r="B23" s="285" t="s">
        <v>69</v>
      </c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76"/>
      <c r="O23" s="135"/>
      <c r="P23" s="135"/>
      <c r="Q23" s="135"/>
      <c r="R23" s="135"/>
      <c r="S23" s="135"/>
      <c r="T23" s="76"/>
    </row>
    <row r="24" spans="1:20" ht="15" thickBot="1" x14ac:dyDescent="0.35">
      <c r="A24" s="76"/>
      <c r="B24" s="286" t="s">
        <v>117</v>
      </c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76"/>
      <c r="O24" s="276" t="s">
        <v>96</v>
      </c>
      <c r="P24" s="277"/>
      <c r="Q24" s="277"/>
      <c r="R24" s="147" t="s">
        <v>101</v>
      </c>
      <c r="S24" s="135"/>
      <c r="T24" s="76"/>
    </row>
    <row r="25" spans="1:20" x14ac:dyDescent="0.3">
      <c r="A25" s="76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34"/>
      <c r="O25" s="76"/>
      <c r="P25" s="76"/>
      <c r="Q25" s="76"/>
      <c r="R25" s="76"/>
      <c r="S25" s="76"/>
      <c r="T25" s="76"/>
    </row>
    <row r="26" spans="1:20" x14ac:dyDescent="0.3"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</row>
    <row r="27" spans="1:20" x14ac:dyDescent="0.3"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</row>
    <row r="28" spans="1:20" x14ac:dyDescent="0.3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</sheetData>
  <sheetProtection password="8D29" sheet="1" objects="1" scenarios="1"/>
  <mergeCells count="16">
    <mergeCell ref="O24:Q24"/>
    <mergeCell ref="O22:Q22"/>
    <mergeCell ref="B27:M27"/>
    <mergeCell ref="B26:M26"/>
    <mergeCell ref="O10:Q10"/>
    <mergeCell ref="B21:M21"/>
    <mergeCell ref="B22:M22"/>
    <mergeCell ref="B23:M23"/>
    <mergeCell ref="B24:M24"/>
    <mergeCell ref="I13:J13"/>
    <mergeCell ref="B15:F15"/>
    <mergeCell ref="C10:G10"/>
    <mergeCell ref="C11:D11"/>
    <mergeCell ref="B14:H14"/>
    <mergeCell ref="O17:P17"/>
    <mergeCell ref="O21:Q21"/>
  </mergeCells>
  <dataValidations count="5">
    <dataValidation type="decimal" allowBlank="1" showInputMessage="1" showErrorMessage="1" errorTitle="Oeps invoerfout" error="Waarde moet zijn tussen -1 en 4_x000a_Vervang een punt voor komma" sqref="P16">
      <formula1>-1</formula1>
      <formula2>5</formula2>
    </dataValidation>
    <dataValidation type="decimal" allowBlank="1" showInputMessage="1" showErrorMessage="1" errorTitle="Oeps invoer fout" error="Waarde moet tussen -1 en 5_x000a_Wijzig punt in komma" sqref="K14">
      <formula1>-1</formula1>
      <formula2>5</formula2>
    </dataValidation>
    <dataValidation type="decimal" allowBlank="1" showInputMessage="1" showErrorMessage="1" errorTitle="Opes invoer fout" error="Waarde moet zijn tussen -1 en 4_x000a_Wijzig punt in komma" sqref="K15">
      <formula1>-1</formula1>
      <formula2>5</formula2>
    </dataValidation>
    <dataValidation type="whole" allowBlank="1" showInputMessage="1" showErrorMessage="1" error="De invoer moet zijn:_x000a_Een gehaal getal van af 62 tm 72_x000a_Een getal achter de komma geeft_x000a_een invoer foutmelding " promptTitle="De invoerwaarde " prompt="De invoerwaarde moet zijn:_x000a_Hele getallen vanaf 62 tm 72" sqref="S22">
      <formula1>62</formula1>
      <formula2>72</formula2>
    </dataValidation>
    <dataValidation type="decimal" allowBlank="1" showInputMessage="1" showErrorMessage="1" errorTitle="De invoer is tijdelijk beperkt" error="De invoer is tijdelijk beperkt op de waarde 0,000" promptTitle="Tijdelijk niet van toepassing" prompt="De invoer is tijdelijk beperkt op waarde o,oo" sqref="K19">
      <formula1>0</formula1>
      <formula2>0.00001</formula2>
    </dataValidation>
  </dataValidations>
  <hyperlinks>
    <hyperlink ref="M16" r:id="rId1" display="versie 30-01-22"/>
    <hyperlink ref="S15" r:id="rId2" display="Occasional Studies"/>
    <hyperlink ref="Q13" r:id="rId3"/>
    <hyperlink ref="S13" r:id="rId4"/>
    <hyperlink ref="Q14" r:id="rId5"/>
    <hyperlink ref="S14" r:id="rId6"/>
    <hyperlink ref="Q15" r:id="rId7"/>
  </hyperlinks>
  <pageMargins left="0.31496062992125984" right="0.15748031496062992" top="0.52" bottom="0.74803149606299213" header="0.31496062992125984" footer="0.31496062992125984"/>
  <pageSetup paperSize="9" scale="8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4"/>
  <sheetViews>
    <sheetView topLeftCell="D69" workbookViewId="0">
      <selection activeCell="T76" sqref="T76"/>
    </sheetView>
  </sheetViews>
  <sheetFormatPr defaultRowHeight="14.4" x14ac:dyDescent="0.3"/>
  <cols>
    <col min="1" max="1" width="10" bestFit="1" customWidth="1"/>
    <col min="2" max="2" width="3.5546875" customWidth="1"/>
    <col min="3" max="3" width="9.44140625" bestFit="1" customWidth="1"/>
    <col min="4" max="4" width="10.5546875" bestFit="1" customWidth="1"/>
    <col min="5" max="6" width="9.88671875" bestFit="1" customWidth="1"/>
    <col min="7" max="7" width="10.109375" bestFit="1" customWidth="1"/>
    <col min="8" max="8" width="9.5546875" bestFit="1" customWidth="1"/>
    <col min="10" max="10" width="8.5546875" bestFit="1" customWidth="1"/>
    <col min="11" max="11" width="12.44140625" bestFit="1" customWidth="1"/>
    <col min="12" max="12" width="12" style="1" bestFit="1" customWidth="1"/>
    <col min="13" max="13" width="3.88671875" style="1" customWidth="1"/>
    <col min="14" max="14" width="4" style="1" customWidth="1"/>
    <col min="15" max="15" width="3" customWidth="1"/>
    <col min="16" max="16" width="10.6640625" bestFit="1" customWidth="1"/>
    <col min="17" max="17" width="12.6640625" bestFit="1" customWidth="1"/>
    <col min="18" max="18" width="14.88671875" bestFit="1" customWidth="1"/>
    <col min="19" max="19" width="13.109375" style="1" bestFit="1" customWidth="1"/>
    <col min="20" max="20" width="14" bestFit="1" customWidth="1"/>
    <col min="21" max="21" width="14.88671875" bestFit="1" customWidth="1"/>
    <col min="22" max="22" width="11.33203125" style="102" bestFit="1" customWidth="1"/>
    <col min="23" max="23" width="16" bestFit="1" customWidth="1"/>
    <col min="24" max="24" width="11.88671875" bestFit="1" customWidth="1"/>
    <col min="25" max="25" width="3.44140625" customWidth="1"/>
    <col min="26" max="26" width="11.33203125" bestFit="1" customWidth="1"/>
    <col min="27" max="29" width="12" bestFit="1" customWidth="1"/>
    <col min="30" max="30" width="12.44140625" bestFit="1" customWidth="1"/>
    <col min="31" max="31" width="12" bestFit="1" customWidth="1"/>
    <col min="32" max="32" width="3" customWidth="1"/>
    <col min="33" max="33" width="12" bestFit="1" customWidth="1"/>
    <col min="34" max="34" width="12.33203125" bestFit="1" customWidth="1"/>
    <col min="35" max="35" width="13.109375" bestFit="1" customWidth="1"/>
    <col min="36" max="36" width="2.5546875" customWidth="1"/>
    <col min="37" max="37" width="9.5546875" bestFit="1" customWidth="1"/>
  </cols>
  <sheetData>
    <row r="1" spans="3:48" ht="15" thickBot="1" x14ac:dyDescent="0.35"/>
    <row r="2" spans="3:48" ht="15" thickBot="1" x14ac:dyDescent="0.35">
      <c r="D2" s="60" t="s">
        <v>38</v>
      </c>
      <c r="E2" s="59" t="s">
        <v>42</v>
      </c>
      <c r="G2" s="25" t="s">
        <v>39</v>
      </c>
      <c r="J2" t="s">
        <v>40</v>
      </c>
      <c r="L2" s="89" t="s">
        <v>91</v>
      </c>
      <c r="M2" s="80"/>
      <c r="N2" s="80"/>
      <c r="R2" s="34" t="s">
        <v>72</v>
      </c>
      <c r="W2" s="302" t="s">
        <v>34</v>
      </c>
      <c r="X2" s="303"/>
    </row>
    <row r="3" spans="3:48" ht="15" thickBot="1" x14ac:dyDescent="0.35">
      <c r="D3" s="58" t="s">
        <v>43</v>
      </c>
      <c r="E3" s="54">
        <v>12642</v>
      </c>
      <c r="G3" s="32">
        <v>17.29785</v>
      </c>
      <c r="J3" s="33">
        <f>55/120</f>
        <v>0.45833333333333331</v>
      </c>
      <c r="L3" s="92" t="s">
        <v>90</v>
      </c>
      <c r="M3" s="80"/>
      <c r="N3" s="80"/>
      <c r="R3" s="101" t="s">
        <v>73</v>
      </c>
      <c r="W3" s="56" t="s">
        <v>36</v>
      </c>
      <c r="X3" s="55" t="s">
        <v>35</v>
      </c>
    </row>
    <row r="4" spans="3:48" ht="15" thickBot="1" x14ac:dyDescent="0.35">
      <c r="L4" s="143">
        <f>'Arnoud VDAB Pensioenopbouw'!O15</f>
        <v>2</v>
      </c>
      <c r="M4" s="176"/>
      <c r="N4" s="176"/>
      <c r="W4" s="66">
        <v>20</v>
      </c>
      <c r="X4" s="67">
        <f>'Arnoud VDAB Pensioenopbouw'!K14</f>
        <v>0</v>
      </c>
    </row>
    <row r="5" spans="3:48" ht="15" thickBot="1" x14ac:dyDescent="0.35">
      <c r="C5" s="4"/>
      <c r="D5" s="5" t="s">
        <v>5</v>
      </c>
      <c r="E5" s="12" t="s">
        <v>6</v>
      </c>
      <c r="F5" s="4"/>
      <c r="G5" s="4"/>
      <c r="H5" s="4"/>
      <c r="W5" s="66">
        <v>35</v>
      </c>
      <c r="X5" s="67">
        <f>'Arnoud VDAB Pensioenopbouw'!K15</f>
        <v>0</v>
      </c>
      <c r="AG5" s="4"/>
      <c r="AH5" s="5" t="s">
        <v>5</v>
      </c>
      <c r="AI5" s="12" t="s">
        <v>6</v>
      </c>
      <c r="AJ5" s="4"/>
      <c r="AK5" s="4"/>
      <c r="AL5" s="4"/>
      <c r="AP5" s="1"/>
      <c r="AU5" s="1"/>
    </row>
    <row r="6" spans="3:48" ht="15" thickBot="1" x14ac:dyDescent="0.35">
      <c r="C6" s="4"/>
      <c r="D6" s="64">
        <f>'Arnoud VDAB Pensioenopbouw'!B19</f>
        <v>30802</v>
      </c>
      <c r="E6" s="64">
        <f>'Arnoud VDAB Pensioenopbouw'!F19</f>
        <v>14802</v>
      </c>
      <c r="F6" s="4"/>
      <c r="G6" s="10" t="s">
        <v>0</v>
      </c>
      <c r="H6" s="4"/>
      <c r="J6" s="5" t="s">
        <v>2</v>
      </c>
      <c r="K6" s="8" t="s">
        <v>17</v>
      </c>
      <c r="P6" s="10" t="s">
        <v>23</v>
      </c>
      <c r="R6" s="10" t="s">
        <v>27</v>
      </c>
      <c r="U6" s="10" t="s">
        <v>29</v>
      </c>
      <c r="W6" s="57"/>
      <c r="X6" s="57"/>
      <c r="AG6" s="4"/>
      <c r="AH6" s="64">
        <f>'Arnoud VDAB Pensioenopbouw'!AD19</f>
        <v>0</v>
      </c>
      <c r="AI6" s="64">
        <f>'Arnoud VDAB Pensioenopbouw'!AH19</f>
        <v>0</v>
      </c>
      <c r="AJ6" s="4"/>
      <c r="AK6" s="10" t="s">
        <v>0</v>
      </c>
      <c r="AL6" s="4"/>
      <c r="AN6" s="5" t="s">
        <v>2</v>
      </c>
      <c r="AO6" s="8" t="s">
        <v>17</v>
      </c>
      <c r="AP6" s="1"/>
      <c r="AR6" s="10" t="s">
        <v>23</v>
      </c>
      <c r="AT6" s="10" t="s">
        <v>27</v>
      </c>
      <c r="AU6" s="1"/>
    </row>
    <row r="7" spans="3:48" x14ac:dyDescent="0.3">
      <c r="C7" s="4"/>
      <c r="D7" s="5" t="s">
        <v>13</v>
      </c>
      <c r="E7" s="12" t="s">
        <v>13</v>
      </c>
      <c r="F7" s="4"/>
      <c r="G7" s="14" t="s">
        <v>16</v>
      </c>
      <c r="H7" s="4"/>
      <c r="J7" s="6" t="s">
        <v>9</v>
      </c>
      <c r="K7" s="68">
        <f>'Arnoud VDAB Pensioenopbouw'!Q19</f>
        <v>2.6999999999999913</v>
      </c>
      <c r="P7" s="69">
        <f>'Arnoud VDAB Pensioenopbouw'!E19</f>
        <v>1.875</v>
      </c>
      <c r="R7" s="68">
        <f>'Arnoud VDAB Pensioenopbouw'!J19</f>
        <v>2.7</v>
      </c>
      <c r="U7" s="14" t="s">
        <v>30</v>
      </c>
      <c r="W7" s="57"/>
      <c r="X7" s="57"/>
      <c r="AG7" s="4"/>
      <c r="AH7" s="5" t="s">
        <v>13</v>
      </c>
      <c r="AI7" s="12" t="s">
        <v>13</v>
      </c>
      <c r="AJ7" s="4"/>
      <c r="AK7" s="14" t="s">
        <v>16</v>
      </c>
      <c r="AL7" s="4"/>
      <c r="AN7" s="6" t="s">
        <v>9</v>
      </c>
      <c r="AO7" s="68">
        <f>'Arnoud VDAB Pensioenopbouw'!AK19</f>
        <v>0</v>
      </c>
      <c r="AP7" s="1"/>
      <c r="AR7" s="69">
        <f>'Arnoud VDAB Pensioenopbouw'!AG19</f>
        <v>0</v>
      </c>
      <c r="AT7" s="68">
        <f>'Arnoud VDAB Pensioenopbouw'!AL19</f>
        <v>0</v>
      </c>
      <c r="AU7" s="1"/>
    </row>
    <row r="8" spans="3:48" ht="15" thickBot="1" x14ac:dyDescent="0.35">
      <c r="C8" s="4"/>
      <c r="D8" s="65">
        <f>'Arnoud VDAB Pensioenopbouw'!C19</f>
        <v>0</v>
      </c>
      <c r="E8" s="65">
        <f>'Arnoud VDAB Pensioenopbouw'!G19</f>
        <v>0</v>
      </c>
      <c r="F8" s="4"/>
      <c r="G8" s="65">
        <f>'Arnoud VDAB Pensioenopbouw'!D19</f>
        <v>26.25</v>
      </c>
      <c r="H8" s="4"/>
      <c r="J8" s="6" t="s">
        <v>19</v>
      </c>
      <c r="K8" s="9" t="s">
        <v>18</v>
      </c>
      <c r="P8" s="11" t="s">
        <v>24</v>
      </c>
      <c r="R8" s="14" t="s">
        <v>26</v>
      </c>
      <c r="U8" s="14" t="s">
        <v>31</v>
      </c>
      <c r="W8" s="57"/>
      <c r="X8" s="57"/>
      <c r="AG8" s="4"/>
      <c r="AH8" s="65">
        <f>'Arnoud VDAB Pensioenopbouw'!AE19</f>
        <v>0</v>
      </c>
      <c r="AI8" s="65">
        <f>'Arnoud VDAB Pensioenopbouw'!AI19</f>
        <v>0</v>
      </c>
      <c r="AJ8" s="4"/>
      <c r="AK8" s="65">
        <f>'Arnoud VDAB Pensioenopbouw'!AF19</f>
        <v>0</v>
      </c>
      <c r="AL8" s="4"/>
      <c r="AN8" s="6" t="s">
        <v>19</v>
      </c>
      <c r="AO8" s="9" t="s">
        <v>18</v>
      </c>
      <c r="AP8" s="1"/>
      <c r="AR8" s="11" t="s">
        <v>24</v>
      </c>
      <c r="AT8" s="14" t="s">
        <v>26</v>
      </c>
      <c r="AU8" s="1"/>
    </row>
    <row r="9" spans="3:48" ht="15" thickBot="1" x14ac:dyDescent="0.35">
      <c r="C9" s="4"/>
      <c r="D9" s="7" t="s">
        <v>14</v>
      </c>
      <c r="E9" s="13" t="s">
        <v>15</v>
      </c>
      <c r="F9" s="4"/>
      <c r="G9" s="11" t="s">
        <v>20</v>
      </c>
      <c r="H9" s="4"/>
      <c r="J9" s="31">
        <f>IF('Arnoud VDAB Pensioenopbouw'!M19=("J"),J3,IF('Arnoud VDAB Pensioenopbouw'!M19=("j"),J3,0))</f>
        <v>0</v>
      </c>
      <c r="R9" s="11" t="s">
        <v>28</v>
      </c>
      <c r="U9" s="70">
        <f>'Arnoud VDAB Pensioenopbouw'!M15</f>
        <v>15.5</v>
      </c>
      <c r="W9" s="57"/>
      <c r="X9" s="57"/>
      <c r="AG9" s="4"/>
      <c r="AH9" s="7" t="s">
        <v>14</v>
      </c>
      <c r="AI9" s="13" t="s">
        <v>15</v>
      </c>
      <c r="AJ9" s="4"/>
      <c r="AK9" s="11" t="s">
        <v>20</v>
      </c>
      <c r="AL9" s="4"/>
      <c r="AN9" s="31">
        <f>IF('Arnoud VDAB Pensioenopbouw'!AO19=("J"),AN3,IF('Arnoud VDAB Pensioenopbouw'!AO19=("j"),AN3,0))</f>
        <v>0</v>
      </c>
      <c r="AP9" s="1"/>
      <c r="AT9" s="11" t="s">
        <v>28</v>
      </c>
      <c r="AU9" s="1"/>
    </row>
    <row r="10" spans="3:48" x14ac:dyDescent="0.3">
      <c r="C10" s="4"/>
      <c r="D10" s="4"/>
      <c r="E10" s="4"/>
      <c r="F10" s="4"/>
      <c r="G10" s="4"/>
      <c r="H10" s="4"/>
      <c r="W10" s="57"/>
      <c r="X10" s="57"/>
      <c r="AG10" s="4"/>
      <c r="AH10" s="4"/>
      <c r="AI10" s="4"/>
      <c r="AJ10" s="4"/>
      <c r="AK10" s="4"/>
      <c r="AL10" s="4"/>
      <c r="AP10" s="1"/>
      <c r="AU10" s="1"/>
    </row>
    <row r="11" spans="3:48" ht="15" thickBot="1" x14ac:dyDescent="0.35">
      <c r="C11" s="25"/>
      <c r="D11" s="25"/>
      <c r="H11" s="25"/>
      <c r="I11" s="25"/>
      <c r="J11" s="25"/>
      <c r="K11" s="25"/>
      <c r="L11" s="25"/>
      <c r="M11" s="25"/>
      <c r="N11" s="25"/>
      <c r="W11" s="57"/>
      <c r="X11" s="57"/>
      <c r="AG11" s="25"/>
      <c r="AH11" s="25"/>
      <c r="AL11" s="25"/>
      <c r="AM11" s="25"/>
      <c r="AN11" s="25"/>
      <c r="AO11" s="25"/>
      <c r="AP11" s="25"/>
      <c r="AU11" s="1"/>
    </row>
    <row r="12" spans="3:48" x14ac:dyDescent="0.3">
      <c r="C12" s="15" t="s">
        <v>46</v>
      </c>
      <c r="D12" s="40" t="s">
        <v>5</v>
      </c>
      <c r="E12" s="10" t="s">
        <v>6</v>
      </c>
      <c r="F12" s="26" t="s">
        <v>0</v>
      </c>
      <c r="G12" s="15" t="s">
        <v>0</v>
      </c>
      <c r="H12" s="15" t="s">
        <v>0</v>
      </c>
      <c r="I12" s="26" t="s">
        <v>1</v>
      </c>
      <c r="J12" s="26" t="s">
        <v>2</v>
      </c>
      <c r="K12" s="26" t="s">
        <v>21</v>
      </c>
      <c r="L12" s="26" t="s">
        <v>3</v>
      </c>
      <c r="M12" s="177"/>
      <c r="N12" s="177"/>
      <c r="P12" s="34" t="s">
        <v>0</v>
      </c>
      <c r="Q12" s="36" t="s">
        <v>47</v>
      </c>
      <c r="R12" s="36" t="s">
        <v>49</v>
      </c>
      <c r="S12" s="5" t="s">
        <v>51</v>
      </c>
      <c r="T12" s="34" t="s">
        <v>71</v>
      </c>
      <c r="V12" s="103" t="s">
        <v>72</v>
      </c>
      <c r="X12" s="2" t="s">
        <v>41</v>
      </c>
      <c r="AG12" s="15" t="s">
        <v>46</v>
      </c>
      <c r="AH12" s="40" t="s">
        <v>5</v>
      </c>
      <c r="AI12" s="10" t="s">
        <v>6</v>
      </c>
      <c r="AJ12" s="26" t="s">
        <v>0</v>
      </c>
      <c r="AK12" s="15" t="s">
        <v>0</v>
      </c>
      <c r="AL12" s="15" t="s">
        <v>0</v>
      </c>
      <c r="AM12" s="26" t="s">
        <v>1</v>
      </c>
      <c r="AN12" s="26" t="s">
        <v>2</v>
      </c>
      <c r="AO12" s="26" t="s">
        <v>21</v>
      </c>
      <c r="AP12" s="26" t="s">
        <v>3</v>
      </c>
      <c r="AR12" s="34" t="s">
        <v>0</v>
      </c>
      <c r="AS12" s="36" t="s">
        <v>47</v>
      </c>
      <c r="AT12" s="36" t="s">
        <v>49</v>
      </c>
      <c r="AU12" s="5" t="s">
        <v>51</v>
      </c>
      <c r="AV12" s="34" t="s">
        <v>71</v>
      </c>
    </row>
    <row r="13" spans="3:48" ht="15" thickBot="1" x14ac:dyDescent="0.35">
      <c r="C13" s="28" t="s">
        <v>4</v>
      </c>
      <c r="D13" s="41" t="s">
        <v>37</v>
      </c>
      <c r="E13" s="28" t="s">
        <v>32</v>
      </c>
      <c r="F13" s="29" t="s">
        <v>33</v>
      </c>
      <c r="G13" s="28" t="s">
        <v>44</v>
      </c>
      <c r="H13" s="28" t="s">
        <v>7</v>
      </c>
      <c r="I13" s="29" t="s">
        <v>8</v>
      </c>
      <c r="J13" s="29" t="s">
        <v>9</v>
      </c>
      <c r="K13" s="29" t="s">
        <v>22</v>
      </c>
      <c r="L13" s="30" t="s">
        <v>10</v>
      </c>
      <c r="M13" s="177"/>
      <c r="N13" s="177"/>
      <c r="P13" s="35" t="s">
        <v>25</v>
      </c>
      <c r="Q13" s="61" t="s">
        <v>48</v>
      </c>
      <c r="R13" s="37" t="s">
        <v>50</v>
      </c>
      <c r="S13" s="27" t="s">
        <v>45</v>
      </c>
      <c r="T13" s="35" t="s">
        <v>70</v>
      </c>
      <c r="V13" s="104" t="s">
        <v>74</v>
      </c>
      <c r="X13" s="38">
        <f>Blad2!E8</f>
        <v>0</v>
      </c>
      <c r="AG13" s="28" t="s">
        <v>4</v>
      </c>
      <c r="AH13" s="41" t="s">
        <v>37</v>
      </c>
      <c r="AI13" s="28" t="s">
        <v>32</v>
      </c>
      <c r="AJ13" s="29" t="s">
        <v>33</v>
      </c>
      <c r="AK13" s="28" t="s">
        <v>44</v>
      </c>
      <c r="AL13" s="28" t="s">
        <v>7</v>
      </c>
      <c r="AM13" s="29" t="s">
        <v>8</v>
      </c>
      <c r="AN13" s="29" t="s">
        <v>9</v>
      </c>
      <c r="AO13" s="29" t="s">
        <v>22</v>
      </c>
      <c r="AP13" s="30" t="s">
        <v>10</v>
      </c>
      <c r="AR13" s="35" t="s">
        <v>25</v>
      </c>
      <c r="AS13" s="61" t="s">
        <v>48</v>
      </c>
      <c r="AT13" s="37" t="s">
        <v>50</v>
      </c>
      <c r="AU13" s="27" t="s">
        <v>45</v>
      </c>
      <c r="AV13" s="35" t="s">
        <v>70</v>
      </c>
    </row>
    <row r="14" spans="3:48" ht="15" thickBot="1" x14ac:dyDescent="0.35">
      <c r="C14" s="43">
        <v>20</v>
      </c>
      <c r="D14" s="44">
        <f>'Arnoud VDAB Pensioenopbouw'!B19</f>
        <v>30802</v>
      </c>
      <c r="E14" s="44">
        <f>'Arnoud VDAB Pensioenopbouw'!F19</f>
        <v>14802</v>
      </c>
      <c r="F14" s="44">
        <f t="shared" ref="F14:F45" si="0">D14-E14</f>
        <v>16000</v>
      </c>
      <c r="G14" s="45">
        <f>'Arnoud VDAB Pensioenopbouw'!$D$19</f>
        <v>26.25</v>
      </c>
      <c r="H14" s="46">
        <f>F14*('Arnoud VDAB Pensioenopbouw'!$D$19/100)</f>
        <v>4200</v>
      </c>
      <c r="I14" s="47">
        <f>1+'Arnoud VDAB Pensioenopbouw'!$Q$19/100</f>
        <v>1.0269999999999999</v>
      </c>
      <c r="J14" s="48">
        <f>(Blad1!$C$71-C14)+$J$79</f>
        <v>47</v>
      </c>
      <c r="K14" s="42">
        <f>H14*((1+'Arnoud VDAB Pensioenopbouw'!$Q$19/100)^J14)</f>
        <v>14691.297031264798</v>
      </c>
      <c r="L14" s="46">
        <f>K14</f>
        <v>14691.297031264798</v>
      </c>
      <c r="M14" s="168"/>
      <c r="N14" s="168"/>
      <c r="P14" s="107">
        <f>$F84*('Arnoud VDAB Pensioenopbouw'!$E$19*((100-(($C84-25)*($V$14)))/100))/100</f>
        <v>300</v>
      </c>
      <c r="Q14" s="105">
        <f>P14</f>
        <v>300</v>
      </c>
      <c r="R14" s="52">
        <f>P14*((1+'Arnoud VDAB Pensioenopbouw'!$J$19/100)^($C$136-C14))</f>
        <v>1049.378359376057</v>
      </c>
      <c r="S14" s="53">
        <f>R14</f>
        <v>1049.378359376057</v>
      </c>
      <c r="T14" s="51">
        <f>((K14/'Arnoud VDAB Pensioenopbouw'!$M$15)/R14)*100</f>
        <v>90.322580645161281</v>
      </c>
      <c r="V14" s="109">
        <f>'Arnoud VDAB Pensioenopbouw'!K19</f>
        <v>0</v>
      </c>
      <c r="W14" s="118">
        <f>G84</f>
        <v>26.25</v>
      </c>
      <c r="X14" s="38">
        <f>Blad2!E9</f>
        <v>0</v>
      </c>
      <c r="AG14" s="43">
        <v>25</v>
      </c>
      <c r="AH14" s="44">
        <f>'Arnoud VDAB Pensioenopbouw'!AD19</f>
        <v>0</v>
      </c>
      <c r="AI14" s="44">
        <f>'Arnoud VDAB Pensioenopbouw'!AH19</f>
        <v>0</v>
      </c>
      <c r="AJ14" s="44">
        <f t="shared" ref="AJ14:AJ55" si="1">AH14-AI14</f>
        <v>0</v>
      </c>
      <c r="AK14" s="45">
        <f>'Arnoud VDAB Pensioenopbouw'!$D$19</f>
        <v>26.25</v>
      </c>
      <c r="AL14" s="46">
        <f>AJ14*('Arnoud VDAB Pensioenopbouw'!$D$19/100)</f>
        <v>0</v>
      </c>
      <c r="AM14" s="47">
        <f>1+'Arnoud VDAB Pensioenopbouw'!$Q$19/100</f>
        <v>1.0269999999999999</v>
      </c>
      <c r="AN14" s="48">
        <f>(Blad1!$C$71-AG14)+$J$79</f>
        <v>42</v>
      </c>
      <c r="AO14" s="42">
        <f>AL14*((1+'Arnoud VDAB Pensioenopbouw'!$Q$19/100)^AN14)</f>
        <v>0</v>
      </c>
      <c r="AP14" s="46">
        <f>AO14</f>
        <v>0</v>
      </c>
      <c r="AR14" s="107">
        <f>$F84*('Arnoud VDAB Pensioenopbouw'!$E$19*((100-(($C84-25)*($V$14)))/100))/100</f>
        <v>300</v>
      </c>
      <c r="AS14" s="105">
        <f>AR14</f>
        <v>300</v>
      </c>
      <c r="AT14" s="52">
        <f>AR14*((1+'Arnoud VDAB Pensioenopbouw'!$J$19/100)^($C$136-AG14))</f>
        <v>918.5015336673041</v>
      </c>
      <c r="AU14" s="53">
        <f>AT14</f>
        <v>918.5015336673041</v>
      </c>
      <c r="AV14" s="51">
        <f>((AO14/'Arnoud VDAB Pensioenopbouw'!$M$15)/AT14)*100</f>
        <v>0</v>
      </c>
    </row>
    <row r="15" spans="3:48" ht="15" thickBot="1" x14ac:dyDescent="0.35">
      <c r="C15" s="16">
        <v>21</v>
      </c>
      <c r="D15" s="17">
        <f>IF(Blad2!E9&lt;&gt;"",(D14*(1+(('Arnoud VDAB Pensioenopbouw'!$C$19)/100)))*(1+Blad2!E9/100),D14*(1+(('Arnoud VDAB Pensioenopbouw'!$C$19)/100)))</f>
        <v>30802</v>
      </c>
      <c r="E15" s="17">
        <f>(E14*(1+'Arnoud VDAB Pensioenopbouw'!$G$19/100))</f>
        <v>14802</v>
      </c>
      <c r="F15" s="17">
        <f t="shared" si="0"/>
        <v>16000</v>
      </c>
      <c r="G15" s="18">
        <f>'Arnoud VDAB Pensioenopbouw'!$D$19</f>
        <v>26.25</v>
      </c>
      <c r="H15" s="19">
        <f>F15*('Arnoud VDAB Pensioenopbouw'!$D$19/100)</f>
        <v>4200</v>
      </c>
      <c r="I15" s="20">
        <f>1+'Arnoud VDAB Pensioenopbouw'!$Q$19/100</f>
        <v>1.0269999999999999</v>
      </c>
      <c r="J15" s="21">
        <f>(Blad1!$C$71-C15)+$J$79</f>
        <v>46</v>
      </c>
      <c r="K15" s="22">
        <f>H15*((1+'Arnoud VDAB Pensioenopbouw'!$Q$19/100)^J15)</f>
        <v>14305.060400452578</v>
      </c>
      <c r="L15" s="23">
        <f t="shared" ref="L15:L46" si="2">L14+K15</f>
        <v>28996.357431717377</v>
      </c>
      <c r="M15" s="178"/>
      <c r="N15" s="178"/>
      <c r="P15" s="108">
        <f>$F85*('Arnoud VDAB Pensioenopbouw'!$E$19*((100-(($C85-25)*($V$14)))/100))/100</f>
        <v>306</v>
      </c>
      <c r="Q15" s="106">
        <f t="shared" ref="Q15:Q46" si="3">P15+Q14</f>
        <v>606</v>
      </c>
      <c r="R15" s="62">
        <f>P15*((1+'Arnoud VDAB Pensioenopbouw'!$J$19/100)^($C$136-C15))</f>
        <v>1042.2258291758308</v>
      </c>
      <c r="S15" s="23">
        <f t="shared" ref="S15:S46" si="4">S14+R15</f>
        <v>2091.604188551888</v>
      </c>
      <c r="T15" s="39">
        <f>((K15/'Arnoud VDAB Pensioenopbouw'!$M$15)/R15)*100</f>
        <v>88.551549652118894</v>
      </c>
      <c r="X15" s="38">
        <f>Blad2!E10</f>
        <v>0</v>
      </c>
      <c r="AG15" s="16">
        <v>26</v>
      </c>
      <c r="AH15" s="17">
        <f>IF(Blad2!AG9&lt;&gt;"",(AH14*(1+(('Arnoud VDAB Pensioenopbouw'!$C$19)/100)))*(1+Blad2!AG9/100),AH14*(1+(('Arnoud VDAB Pensioenopbouw'!$C$19)/100)))</f>
        <v>0</v>
      </c>
      <c r="AI15" s="17">
        <f>(AI14*(1+'Arnoud VDAB Pensioenopbouw'!$G$19/100))</f>
        <v>0</v>
      </c>
      <c r="AJ15" s="17">
        <f t="shared" si="1"/>
        <v>0</v>
      </c>
      <c r="AK15" s="18">
        <f>'Arnoud VDAB Pensioenopbouw'!$D$19</f>
        <v>26.25</v>
      </c>
      <c r="AL15" s="19">
        <f>AJ15*('Arnoud VDAB Pensioenopbouw'!$D$19/100)</f>
        <v>0</v>
      </c>
      <c r="AM15" s="20">
        <f>1+'Arnoud VDAB Pensioenopbouw'!$Q$19/100</f>
        <v>1.0269999999999999</v>
      </c>
      <c r="AN15" s="21">
        <f>(Blad1!$C$71-AG15)+$J$79</f>
        <v>41</v>
      </c>
      <c r="AO15" s="22">
        <f>AL15*((1+'Arnoud VDAB Pensioenopbouw'!$Q$19/100)^AN15)</f>
        <v>0</v>
      </c>
      <c r="AP15" s="23">
        <f t="shared" ref="AP15:AP55" si="5">AP14+AO15</f>
        <v>0</v>
      </c>
      <c r="AR15" s="108">
        <f>$F85*('Arnoud VDAB Pensioenopbouw'!$E$19*((100-(($C85-25)*($V$14)))/100))/100</f>
        <v>306</v>
      </c>
      <c r="AS15" s="106">
        <f t="shared" ref="AS15:AS55" si="6">AR15+AS14</f>
        <v>606</v>
      </c>
      <c r="AT15" s="62">
        <f>AR15*((1+'Arnoud VDAB Pensioenopbouw'!$J$19/100)^($C$136-AG15))</f>
        <v>912.24105583315509</v>
      </c>
      <c r="AU15" s="23">
        <f t="shared" ref="AU15:AU55" si="7">AU14+AT15</f>
        <v>1830.7425895004592</v>
      </c>
      <c r="AV15" s="39">
        <f>((AO15/'Arnoud VDAB Pensioenopbouw'!$M$15)/AT15)*100</f>
        <v>0</v>
      </c>
    </row>
    <row r="16" spans="3:48" ht="15" thickBot="1" x14ac:dyDescent="0.35">
      <c r="C16" s="16">
        <v>22</v>
      </c>
      <c r="D16" s="17">
        <f>IF(Blad2!E10&lt;&gt;"",(D15*(1+(('Arnoud VDAB Pensioenopbouw'!$C$19)/100)))*(1+Blad2!E10/100),D15*(1+(('Arnoud VDAB Pensioenopbouw'!$C$19)/100)))</f>
        <v>30802</v>
      </c>
      <c r="E16" s="17">
        <f>(E15*(1+'Arnoud VDAB Pensioenopbouw'!$G$19/100))</f>
        <v>14802</v>
      </c>
      <c r="F16" s="17">
        <f t="shared" si="0"/>
        <v>16000</v>
      </c>
      <c r="G16" s="18">
        <f>'Arnoud VDAB Pensioenopbouw'!$D$19</f>
        <v>26.25</v>
      </c>
      <c r="H16" s="19">
        <f>F16*('Arnoud VDAB Pensioenopbouw'!$D$19/100)</f>
        <v>4200</v>
      </c>
      <c r="I16" s="20">
        <f>1+'Arnoud VDAB Pensioenopbouw'!$Q$19/100</f>
        <v>1.0269999999999999</v>
      </c>
      <c r="J16" s="21">
        <f>(Blad1!$C$71-C16)+$J$79</f>
        <v>45</v>
      </c>
      <c r="K16" s="22">
        <f>H16*((1+'Arnoud VDAB Pensioenopbouw'!$Q$19/100)^J16)</f>
        <v>13928.977994598423</v>
      </c>
      <c r="L16" s="23">
        <f t="shared" si="2"/>
        <v>42925.335426315796</v>
      </c>
      <c r="M16" s="178"/>
      <c r="N16" s="178"/>
      <c r="P16" s="108">
        <f>$F86*('Arnoud VDAB Pensioenopbouw'!$E$19*((100-(($C86-25)*($V$14)))/100))/100</f>
        <v>312.12000000000006</v>
      </c>
      <c r="Q16" s="106">
        <f t="shared" si="3"/>
        <v>918.12000000000012</v>
      </c>
      <c r="R16" s="62">
        <f>P16*((1+'Arnoud VDAB Pensioenopbouw'!$J$19/100)^($C$136-C16))</f>
        <v>1035.1220503985858</v>
      </c>
      <c r="S16" s="23">
        <f t="shared" si="4"/>
        <v>3126.726238950474</v>
      </c>
      <c r="T16" s="39">
        <f>((K16/'Arnoud VDAB Pensioenopbouw'!$M$15)/R16)*100</f>
        <v>86.815244756979311</v>
      </c>
      <c r="X16" s="38">
        <f>Blad2!E11</f>
        <v>0</v>
      </c>
      <c r="AG16" s="16">
        <v>27</v>
      </c>
      <c r="AH16" s="17">
        <f>IF(Blad2!AG10&lt;&gt;"",(AH15*(1+(('Arnoud VDAB Pensioenopbouw'!$C$19)/100)))*(1+Blad2!AG10/100),AH15*(1+(('Arnoud VDAB Pensioenopbouw'!$C$19)/100)))</f>
        <v>0</v>
      </c>
      <c r="AI16" s="17">
        <f>(AI15*(1+'Arnoud VDAB Pensioenopbouw'!$G$19/100))</f>
        <v>0</v>
      </c>
      <c r="AJ16" s="17">
        <f t="shared" si="1"/>
        <v>0</v>
      </c>
      <c r="AK16" s="18">
        <f>'Arnoud VDAB Pensioenopbouw'!$D$19</f>
        <v>26.25</v>
      </c>
      <c r="AL16" s="19">
        <f>AJ16*('Arnoud VDAB Pensioenopbouw'!$D$19/100)</f>
        <v>0</v>
      </c>
      <c r="AM16" s="20">
        <f>1+'Arnoud VDAB Pensioenopbouw'!$Q$19/100</f>
        <v>1.0269999999999999</v>
      </c>
      <c r="AN16" s="21">
        <f>(Blad1!$C$71-AG16)+$J$79</f>
        <v>40</v>
      </c>
      <c r="AO16" s="22">
        <f>AL16*((1+'Arnoud VDAB Pensioenopbouw'!$Q$19/100)^AN16)</f>
        <v>0</v>
      </c>
      <c r="AP16" s="23">
        <f t="shared" si="5"/>
        <v>0</v>
      </c>
      <c r="AR16" s="108">
        <f>$F86*('Arnoud VDAB Pensioenopbouw'!$E$19*((100-(($C86-25)*($V$14)))/100))/100</f>
        <v>312.12000000000006</v>
      </c>
      <c r="AS16" s="106">
        <f t="shared" si="6"/>
        <v>918.12000000000012</v>
      </c>
      <c r="AT16" s="62">
        <f>AR16*((1+'Arnoud VDAB Pensioenopbouw'!$J$19/100)^($C$136-AG16))</f>
        <v>906.0232492208554</v>
      </c>
      <c r="AU16" s="23">
        <f t="shared" si="7"/>
        <v>2736.7658387213146</v>
      </c>
      <c r="AV16" s="39">
        <f>((AO16/'Arnoud VDAB Pensioenopbouw'!$M$15)/AT16)*100</f>
        <v>0</v>
      </c>
    </row>
    <row r="17" spans="3:48" ht="15" thickBot="1" x14ac:dyDescent="0.35">
      <c r="C17" s="16">
        <v>23</v>
      </c>
      <c r="D17" s="17">
        <f>IF(Blad2!E11&lt;&gt;"",(D16*(1+(('Arnoud VDAB Pensioenopbouw'!$C$19)/100)))*(1+Blad2!E11/100),D16*(1+(('Arnoud VDAB Pensioenopbouw'!$C$19)/100)))</f>
        <v>30802</v>
      </c>
      <c r="E17" s="17">
        <f>(E16*(1+'Arnoud VDAB Pensioenopbouw'!$G$19/100))</f>
        <v>14802</v>
      </c>
      <c r="F17" s="17">
        <f t="shared" si="0"/>
        <v>16000</v>
      </c>
      <c r="G17" s="18">
        <f>'Arnoud VDAB Pensioenopbouw'!$D$19</f>
        <v>26.25</v>
      </c>
      <c r="H17" s="19">
        <f>F17*('Arnoud VDAB Pensioenopbouw'!$D$19/100)</f>
        <v>4200</v>
      </c>
      <c r="I17" s="20">
        <f>1+'Arnoud VDAB Pensioenopbouw'!$Q$19/100</f>
        <v>1.0269999999999999</v>
      </c>
      <c r="J17" s="21">
        <f>(Blad1!$C$71-C17)+$J$79</f>
        <v>44</v>
      </c>
      <c r="K17" s="22">
        <f>H17*((1+'Arnoud VDAB Pensioenopbouw'!$Q$19/100)^J17)</f>
        <v>13562.782857447346</v>
      </c>
      <c r="L17" s="23">
        <f t="shared" si="2"/>
        <v>56488.118283763142</v>
      </c>
      <c r="M17" s="178"/>
      <c r="N17" s="178"/>
      <c r="P17" s="108">
        <f>$F87*('Arnoud VDAB Pensioenopbouw'!$E$19*((100-(($C87-25)*($V$14)))/100))/100</f>
        <v>318.36240000000004</v>
      </c>
      <c r="Q17" s="106">
        <f t="shared" si="3"/>
        <v>1236.4824000000001</v>
      </c>
      <c r="R17" s="62">
        <f>P17*((1+'Arnoud VDAB Pensioenopbouw'!$J$19/100)^($C$136-C17))</f>
        <v>1028.0666907561417</v>
      </c>
      <c r="S17" s="23">
        <f t="shared" si="4"/>
        <v>4154.7929297066157</v>
      </c>
      <c r="T17" s="39">
        <f>((K17/'Arnoud VDAB Pensioenopbouw'!$M$15)/R17)*100</f>
        <v>85.112985055862083</v>
      </c>
      <c r="X17" s="38">
        <f>Blad2!E12</f>
        <v>0</v>
      </c>
      <c r="AG17" s="16">
        <v>28</v>
      </c>
      <c r="AH17" s="17">
        <f>IF(Blad2!AG11&lt;&gt;"",(AH16*(1+(('Arnoud VDAB Pensioenopbouw'!$C$19)/100)))*(1+Blad2!AG11/100),AH16*(1+(('Arnoud VDAB Pensioenopbouw'!$C$19)/100)))</f>
        <v>0</v>
      </c>
      <c r="AI17" s="17">
        <f>(AI16*(1+'Arnoud VDAB Pensioenopbouw'!$G$19/100))</f>
        <v>0</v>
      </c>
      <c r="AJ17" s="17">
        <f t="shared" si="1"/>
        <v>0</v>
      </c>
      <c r="AK17" s="18">
        <f>'Arnoud VDAB Pensioenopbouw'!$D$19</f>
        <v>26.25</v>
      </c>
      <c r="AL17" s="19">
        <f>AJ17*('Arnoud VDAB Pensioenopbouw'!$D$19/100)</f>
        <v>0</v>
      </c>
      <c r="AM17" s="20">
        <f>1+'Arnoud VDAB Pensioenopbouw'!$Q$19/100</f>
        <v>1.0269999999999999</v>
      </c>
      <c r="AN17" s="21">
        <f>(Blad1!$C$71-AG17)+$J$79</f>
        <v>39</v>
      </c>
      <c r="AO17" s="22">
        <f>AL17*((1+'Arnoud VDAB Pensioenopbouw'!$Q$19/100)^AN17)</f>
        <v>0</v>
      </c>
      <c r="AP17" s="23">
        <f t="shared" si="5"/>
        <v>0</v>
      </c>
      <c r="AR17" s="108">
        <f>$F87*('Arnoud VDAB Pensioenopbouw'!$E$19*((100-(($C87-25)*($V$14)))/100))/100</f>
        <v>318.36240000000004</v>
      </c>
      <c r="AS17" s="106">
        <f t="shared" si="6"/>
        <v>1236.4824000000001</v>
      </c>
      <c r="AT17" s="62">
        <f>AR17*((1+'Arnoud VDAB Pensioenopbouw'!$J$19/100)^($C$136-AG17))</f>
        <v>899.8478229846861</v>
      </c>
      <c r="AU17" s="23">
        <f t="shared" si="7"/>
        <v>3636.6136617060006</v>
      </c>
      <c r="AV17" s="39">
        <f>((AO17/'Arnoud VDAB Pensioenopbouw'!$M$15)/AT17)*100</f>
        <v>0</v>
      </c>
    </row>
    <row r="18" spans="3:48" ht="15" thickBot="1" x14ac:dyDescent="0.35">
      <c r="C18" s="16">
        <v>24</v>
      </c>
      <c r="D18" s="17">
        <f>IF(Blad2!E12&lt;&gt;"",(D17*(1+(('Arnoud VDAB Pensioenopbouw'!$C$19)/100)))*(1+Blad2!E12/100),D17*(1+(('Arnoud VDAB Pensioenopbouw'!$C$19)/100)))</f>
        <v>30802</v>
      </c>
      <c r="E18" s="17">
        <f>(E17*(1+'Arnoud VDAB Pensioenopbouw'!$G$19/100))</f>
        <v>14802</v>
      </c>
      <c r="F18" s="17">
        <f t="shared" si="0"/>
        <v>16000</v>
      </c>
      <c r="G18" s="18">
        <f>'Arnoud VDAB Pensioenopbouw'!$D$19</f>
        <v>26.25</v>
      </c>
      <c r="H18" s="19">
        <f>F18*('Arnoud VDAB Pensioenopbouw'!$D$19/100)</f>
        <v>4200</v>
      </c>
      <c r="I18" s="20">
        <f>1+'Arnoud VDAB Pensioenopbouw'!$Q$19/100</f>
        <v>1.0269999999999999</v>
      </c>
      <c r="J18" s="21">
        <f>(Blad1!$C$71-C18)+$J$79</f>
        <v>43</v>
      </c>
      <c r="K18" s="22">
        <f>H18*((1+'Arnoud VDAB Pensioenopbouw'!$Q$19/100)^J18)</f>
        <v>13206.215051068499</v>
      </c>
      <c r="L18" s="23">
        <f t="shared" si="2"/>
        <v>69694.333334831637</v>
      </c>
      <c r="M18" s="178"/>
      <c r="N18" s="178"/>
      <c r="P18" s="108">
        <f>$F88*('Arnoud VDAB Pensioenopbouw'!$E$19*((100-(($C88-25)*($V$14)))/100))/100</f>
        <v>324.729648</v>
      </c>
      <c r="Q18" s="106">
        <f t="shared" si="3"/>
        <v>1561.2120480000001</v>
      </c>
      <c r="R18" s="62">
        <f>P18*((1+'Arnoud VDAB Pensioenopbouw'!$J$19/100)^($C$136-C18))</f>
        <v>1021.0594202251847</v>
      </c>
      <c r="S18" s="23">
        <f t="shared" si="4"/>
        <v>5175.8523499318007</v>
      </c>
      <c r="T18" s="39">
        <f>((K18/'Arnoud VDAB Pensioenopbouw'!$M$15)/R18)*100</f>
        <v>83.444102995943211</v>
      </c>
      <c r="X18" s="38">
        <f>Blad2!E13</f>
        <v>0</v>
      </c>
      <c r="AG18" s="16">
        <v>29</v>
      </c>
      <c r="AH18" s="17">
        <f>IF(Blad2!AG12&lt;&gt;"",(AH17*(1+(('Arnoud VDAB Pensioenopbouw'!$C$19)/100)))*(1+Blad2!AG12/100),AH17*(1+(('Arnoud VDAB Pensioenopbouw'!$C$19)/100)))</f>
        <v>0</v>
      </c>
      <c r="AI18" s="17">
        <f>(AI17*(1+'Arnoud VDAB Pensioenopbouw'!$G$19/100))</f>
        <v>0</v>
      </c>
      <c r="AJ18" s="17">
        <f t="shared" si="1"/>
        <v>0</v>
      </c>
      <c r="AK18" s="18">
        <f>'Arnoud VDAB Pensioenopbouw'!$D$19</f>
        <v>26.25</v>
      </c>
      <c r="AL18" s="19">
        <f>AJ18*('Arnoud VDAB Pensioenopbouw'!$D$19/100)</f>
        <v>0</v>
      </c>
      <c r="AM18" s="20">
        <f>1+'Arnoud VDAB Pensioenopbouw'!$Q$19/100</f>
        <v>1.0269999999999999</v>
      </c>
      <c r="AN18" s="21">
        <f>(Blad1!$C$71-AG18)+$J$79</f>
        <v>38</v>
      </c>
      <c r="AO18" s="22">
        <f>AL18*((1+'Arnoud VDAB Pensioenopbouw'!$Q$19/100)^AN18)</f>
        <v>0</v>
      </c>
      <c r="AP18" s="23">
        <f t="shared" si="5"/>
        <v>0</v>
      </c>
      <c r="AR18" s="108">
        <f>$F88*('Arnoud VDAB Pensioenopbouw'!$E$19*((100-(($C88-25)*($V$14)))/100))/100</f>
        <v>324.729648</v>
      </c>
      <c r="AS18" s="106">
        <f t="shared" si="6"/>
        <v>1561.2120480000001</v>
      </c>
      <c r="AT18" s="62">
        <f>AR18*((1+'Arnoud VDAB Pensioenopbouw'!$J$19/100)^($C$136-AG18))</f>
        <v>893.71448826132394</v>
      </c>
      <c r="AU18" s="23">
        <f t="shared" si="7"/>
        <v>4530.3281499673249</v>
      </c>
      <c r="AV18" s="39">
        <f>((AO18/'Arnoud VDAB Pensioenopbouw'!$M$15)/AT18)*100</f>
        <v>0</v>
      </c>
    </row>
    <row r="19" spans="3:48" ht="15" thickBot="1" x14ac:dyDescent="0.35">
      <c r="C19" s="16">
        <v>25</v>
      </c>
      <c r="D19" s="17">
        <f>IF(Blad2!E13&lt;&gt;"",(D18*(1+(('Arnoud VDAB Pensioenopbouw'!$C$19)/100)))*(1+Blad2!E13/100),D18*(1+(('Arnoud VDAB Pensioenopbouw'!$C$19)/100)))</f>
        <v>30802</v>
      </c>
      <c r="E19" s="17">
        <f>(E18*(1+'Arnoud VDAB Pensioenopbouw'!$G$19/100))</f>
        <v>14802</v>
      </c>
      <c r="F19" s="17">
        <f t="shared" si="0"/>
        <v>16000</v>
      </c>
      <c r="G19" s="18">
        <f>'Arnoud VDAB Pensioenopbouw'!$D$19</f>
        <v>26.25</v>
      </c>
      <c r="H19" s="19">
        <f>F19*('Arnoud VDAB Pensioenopbouw'!$D$19/100)</f>
        <v>4200</v>
      </c>
      <c r="I19" s="20">
        <f>1+'Arnoud VDAB Pensioenopbouw'!$Q$19/100</f>
        <v>1.0269999999999999</v>
      </c>
      <c r="J19" s="21">
        <f>(Blad1!$C$71-C19)+$J$79</f>
        <v>42</v>
      </c>
      <c r="K19" s="22">
        <f>H19*((1+'Arnoud VDAB Pensioenopbouw'!$Q$19/100)^J19)</f>
        <v>12859.021471342257</v>
      </c>
      <c r="L19" s="23">
        <f t="shared" si="2"/>
        <v>82553.354806173898</v>
      </c>
      <c r="M19" s="178"/>
      <c r="N19" s="178"/>
      <c r="P19" s="108">
        <f>$F89*('Arnoud VDAB Pensioenopbouw'!$E$19*((100-(($C89-25)*($V$14)))/100))/100</f>
        <v>331.22424096000003</v>
      </c>
      <c r="Q19" s="106">
        <f t="shared" si="3"/>
        <v>1892.4362889600002</v>
      </c>
      <c r="R19" s="62">
        <f>P19*((1+'Arnoud VDAB Pensioenopbouw'!$J$19/100)^($C$136-C19))</f>
        <v>1014.099911031829</v>
      </c>
      <c r="S19" s="23">
        <f t="shared" si="4"/>
        <v>6189.9522609636297</v>
      </c>
      <c r="T19" s="39">
        <f>((K19/'Arnoud VDAB Pensioenopbouw'!$M$15)/R19)*100</f>
        <v>81.807944113669819</v>
      </c>
      <c r="X19" s="38">
        <f>Blad2!E14</f>
        <v>0</v>
      </c>
      <c r="AG19" s="16">
        <v>30</v>
      </c>
      <c r="AH19" s="17">
        <f>IF(Blad2!AG13&lt;&gt;"",(AH18*(1+(('Arnoud VDAB Pensioenopbouw'!$C$19)/100)))*(1+Blad2!AG13/100),AH18*(1+(('Arnoud VDAB Pensioenopbouw'!$C$19)/100)))</f>
        <v>0</v>
      </c>
      <c r="AI19" s="17">
        <f>(AI18*(1+'Arnoud VDAB Pensioenopbouw'!$G$19/100))</f>
        <v>0</v>
      </c>
      <c r="AJ19" s="17">
        <f t="shared" si="1"/>
        <v>0</v>
      </c>
      <c r="AK19" s="18">
        <f>'Arnoud VDAB Pensioenopbouw'!$D$19</f>
        <v>26.25</v>
      </c>
      <c r="AL19" s="19">
        <f>AJ19*('Arnoud VDAB Pensioenopbouw'!$D$19/100)</f>
        <v>0</v>
      </c>
      <c r="AM19" s="20">
        <f>1+'Arnoud VDAB Pensioenopbouw'!$Q$19/100</f>
        <v>1.0269999999999999</v>
      </c>
      <c r="AN19" s="21">
        <f>(Blad1!$C$71-AG19)+$J$79</f>
        <v>37</v>
      </c>
      <c r="AO19" s="22">
        <f>AL19*((1+'Arnoud VDAB Pensioenopbouw'!$Q$19/100)^AN19)</f>
        <v>0</v>
      </c>
      <c r="AP19" s="23">
        <f t="shared" si="5"/>
        <v>0</v>
      </c>
      <c r="AR19" s="108">
        <f>$F89*('Arnoud VDAB Pensioenopbouw'!$E$19*((100-(($C89-25)*($V$14)))/100))/100</f>
        <v>331.22424096000003</v>
      </c>
      <c r="AS19" s="106">
        <f t="shared" si="6"/>
        <v>1892.4362889600002</v>
      </c>
      <c r="AT19" s="62">
        <f>AR19*((1+'Arnoud VDAB Pensioenopbouw'!$J$19/100)^($C$136-AG19))</f>
        <v>887.62295815632967</v>
      </c>
      <c r="AU19" s="23">
        <f t="shared" si="7"/>
        <v>5417.9511081236542</v>
      </c>
      <c r="AV19" s="39">
        <f>((AO19/'Arnoud VDAB Pensioenopbouw'!$M$15)/AT19)*100</f>
        <v>0</v>
      </c>
    </row>
    <row r="20" spans="3:48" ht="15" thickBot="1" x14ac:dyDescent="0.35">
      <c r="C20" s="16">
        <v>26</v>
      </c>
      <c r="D20" s="17">
        <f>IF(Blad2!E14&lt;&gt;"",(D19*(1+(('Arnoud VDAB Pensioenopbouw'!$C$19)/100)))*(1+Blad2!E14/100),D19*(1+(('Arnoud VDAB Pensioenopbouw'!$C$19)/100)))</f>
        <v>30802</v>
      </c>
      <c r="E20" s="17">
        <f>(E19*(1+'Arnoud VDAB Pensioenopbouw'!$G$19/100))</f>
        <v>14802</v>
      </c>
      <c r="F20" s="17">
        <f t="shared" si="0"/>
        <v>16000</v>
      </c>
      <c r="G20" s="18">
        <f>'Arnoud VDAB Pensioenopbouw'!$D$19</f>
        <v>26.25</v>
      </c>
      <c r="H20" s="19">
        <f>F20*('Arnoud VDAB Pensioenopbouw'!$D$19/100)</f>
        <v>4200</v>
      </c>
      <c r="I20" s="20">
        <f>1+'Arnoud VDAB Pensioenopbouw'!$Q$19/100</f>
        <v>1.0269999999999999</v>
      </c>
      <c r="J20" s="21">
        <f>(Blad1!$C$71-C20)+$J$79</f>
        <v>41</v>
      </c>
      <c r="K20" s="22">
        <f>H20*((1+'Arnoud VDAB Pensioenopbouw'!$Q$19/100)^J20)</f>
        <v>12520.955668298206</v>
      </c>
      <c r="L20" s="23">
        <f t="shared" si="2"/>
        <v>95074.310474472106</v>
      </c>
      <c r="M20" s="178"/>
      <c r="N20" s="178"/>
      <c r="P20" s="108">
        <f>$F90*('Arnoud VDAB Pensioenopbouw'!$E$19*((100-(($C90-25)*($V$14)))/100))/100</f>
        <v>337.84872577919998</v>
      </c>
      <c r="Q20" s="106">
        <f t="shared" si="3"/>
        <v>2230.2850147392001</v>
      </c>
      <c r="R20" s="62">
        <f>P20*((1+'Arnoud VDAB Pensioenopbouw'!$J$19/100)^($C$136-C20))</f>
        <v>1007.1878376362858</v>
      </c>
      <c r="S20" s="23">
        <f t="shared" si="4"/>
        <v>7197.1400985999153</v>
      </c>
      <c r="T20" s="39">
        <f>((K20/'Arnoud VDAB Pensioenopbouw'!$M$15)/R20)*100</f>
        <v>80.203866778107667</v>
      </c>
      <c r="X20" s="38">
        <f>Blad2!E15</f>
        <v>0</v>
      </c>
      <c r="AG20" s="16">
        <v>31</v>
      </c>
      <c r="AH20" s="17">
        <f>IF(Blad2!AG14&lt;&gt;"",(AH19*(1+(('Arnoud VDAB Pensioenopbouw'!$C$19)/100)))*(1+Blad2!AG14/100),AH19*(1+(('Arnoud VDAB Pensioenopbouw'!$C$19)/100)))</f>
        <v>0</v>
      </c>
      <c r="AI20" s="17">
        <f>(AI19*(1+'Arnoud VDAB Pensioenopbouw'!$G$19/100))</f>
        <v>0</v>
      </c>
      <c r="AJ20" s="17">
        <f t="shared" si="1"/>
        <v>0</v>
      </c>
      <c r="AK20" s="18">
        <f>'Arnoud VDAB Pensioenopbouw'!$D$19</f>
        <v>26.25</v>
      </c>
      <c r="AL20" s="19">
        <f>AJ20*('Arnoud VDAB Pensioenopbouw'!$D$19/100)</f>
        <v>0</v>
      </c>
      <c r="AM20" s="20">
        <f>1+'Arnoud VDAB Pensioenopbouw'!$Q$19/100</f>
        <v>1.0269999999999999</v>
      </c>
      <c r="AN20" s="21">
        <f>(Blad1!$C$71-AG20)+$J$79</f>
        <v>36</v>
      </c>
      <c r="AO20" s="22">
        <f>AL20*((1+'Arnoud VDAB Pensioenopbouw'!$Q$19/100)^AN20)</f>
        <v>0</v>
      </c>
      <c r="AP20" s="23">
        <f t="shared" si="5"/>
        <v>0</v>
      </c>
      <c r="AR20" s="108">
        <f>$F90*('Arnoud VDAB Pensioenopbouw'!$E$19*((100-(($C90-25)*($V$14)))/100))/100</f>
        <v>337.84872577919998</v>
      </c>
      <c r="AS20" s="106">
        <f t="shared" si="6"/>
        <v>2230.2850147392001</v>
      </c>
      <c r="AT20" s="62">
        <f>AR20*((1+'Arnoud VDAB Pensioenopbouw'!$J$19/100)^($C$136-AG20))</f>
        <v>881.5729477307267</v>
      </c>
      <c r="AU20" s="23">
        <f t="shared" si="7"/>
        <v>6299.524055854381</v>
      </c>
      <c r="AV20" s="39">
        <f>((AO20/'Arnoud VDAB Pensioenopbouw'!$M$15)/AT20)*100</f>
        <v>0</v>
      </c>
    </row>
    <row r="21" spans="3:48" ht="15" thickBot="1" x14ac:dyDescent="0.35">
      <c r="C21" s="16">
        <v>27</v>
      </c>
      <c r="D21" s="17">
        <f>IF(Blad2!E15&lt;&gt;"",(D20*(1+(('Arnoud VDAB Pensioenopbouw'!$C$19)/100)))*(1+Blad2!E15/100),D20*(1+(('Arnoud VDAB Pensioenopbouw'!$C$19)/100)))</f>
        <v>30802</v>
      </c>
      <c r="E21" s="17">
        <f>(E20*(1+'Arnoud VDAB Pensioenopbouw'!$G$19/100))</f>
        <v>14802</v>
      </c>
      <c r="F21" s="17">
        <f t="shared" si="0"/>
        <v>16000</v>
      </c>
      <c r="G21" s="18">
        <f>'Arnoud VDAB Pensioenopbouw'!$D$19</f>
        <v>26.25</v>
      </c>
      <c r="H21" s="19">
        <f>F21*('Arnoud VDAB Pensioenopbouw'!$D$19/100)</f>
        <v>4200</v>
      </c>
      <c r="I21" s="20">
        <f>1+'Arnoud VDAB Pensioenopbouw'!$Q$19/100</f>
        <v>1.0269999999999999</v>
      </c>
      <c r="J21" s="21">
        <f>(Blad1!$C$71-C21)+$J$79</f>
        <v>40</v>
      </c>
      <c r="K21" s="22">
        <f>H21*((1+'Arnoud VDAB Pensioenopbouw'!$Q$19/100)^J21)</f>
        <v>12191.777671176444</v>
      </c>
      <c r="L21" s="23">
        <f t="shared" si="2"/>
        <v>107266.08814564855</v>
      </c>
      <c r="M21" s="178"/>
      <c r="N21" s="178"/>
      <c r="P21" s="108">
        <f>$F91*('Arnoud VDAB Pensioenopbouw'!$E$19*((100-(($C91-25)*($V$14)))/100))/100</f>
        <v>344.60570029478401</v>
      </c>
      <c r="Q21" s="106">
        <f t="shared" si="3"/>
        <v>2574.8907150339842</v>
      </c>
      <c r="R21" s="62">
        <f>P21*((1+'Arnoud VDAB Pensioenopbouw'!$J$19/100)^($C$136-C21))</f>
        <v>1000.3228767176356</v>
      </c>
      <c r="S21" s="23">
        <f t="shared" si="4"/>
        <v>8197.4629753175504</v>
      </c>
      <c r="T21" s="39">
        <f>((K21/'Arnoud VDAB Pensioenopbouw'!$M$15)/R21)*100</f>
        <v>78.631241939321242</v>
      </c>
      <c r="X21" s="38">
        <f>Blad2!E16</f>
        <v>0</v>
      </c>
      <c r="AG21" s="16">
        <v>32</v>
      </c>
      <c r="AH21" s="17">
        <f>IF(Blad2!AG15&lt;&gt;"",(AH20*(1+(('Arnoud VDAB Pensioenopbouw'!$C$19)/100)))*(1+Blad2!AG15/100),AH20*(1+(('Arnoud VDAB Pensioenopbouw'!$C$19)/100)))</f>
        <v>0</v>
      </c>
      <c r="AI21" s="17">
        <f>(AI20*(1+'Arnoud VDAB Pensioenopbouw'!$G$19/100))</f>
        <v>0</v>
      </c>
      <c r="AJ21" s="17">
        <f t="shared" si="1"/>
        <v>0</v>
      </c>
      <c r="AK21" s="18">
        <f>'Arnoud VDAB Pensioenopbouw'!$D$19</f>
        <v>26.25</v>
      </c>
      <c r="AL21" s="19">
        <f>AJ21*('Arnoud VDAB Pensioenopbouw'!$D$19/100)</f>
        <v>0</v>
      </c>
      <c r="AM21" s="20">
        <f>1+'Arnoud VDAB Pensioenopbouw'!$Q$19/100</f>
        <v>1.0269999999999999</v>
      </c>
      <c r="AN21" s="21">
        <f>(Blad1!$C$71-AG21)+$J$79</f>
        <v>35</v>
      </c>
      <c r="AO21" s="22">
        <f>AL21*((1+'Arnoud VDAB Pensioenopbouw'!$Q$19/100)^AN21)</f>
        <v>0</v>
      </c>
      <c r="AP21" s="23">
        <f t="shared" si="5"/>
        <v>0</v>
      </c>
      <c r="AR21" s="108">
        <f>$F91*('Arnoud VDAB Pensioenopbouw'!$E$19*((100-(($C91-25)*($V$14)))/100))/100</f>
        <v>344.60570029478401</v>
      </c>
      <c r="AS21" s="106">
        <f t="shared" si="6"/>
        <v>2574.8907150339842</v>
      </c>
      <c r="AT21" s="62">
        <f>AR21*((1+'Arnoud VDAB Pensioenopbouw'!$J$19/100)^($C$136-AG21))</f>
        <v>875.56417398767417</v>
      </c>
      <c r="AU21" s="23">
        <f t="shared" si="7"/>
        <v>7175.0882298420547</v>
      </c>
      <c r="AV21" s="39">
        <f>((AO21/'Arnoud VDAB Pensioenopbouw'!$M$15)/AT21)*100</f>
        <v>0</v>
      </c>
    </row>
    <row r="22" spans="3:48" ht="15" thickBot="1" x14ac:dyDescent="0.35">
      <c r="C22" s="16">
        <v>28</v>
      </c>
      <c r="D22" s="17">
        <f>IF(Blad2!E16&lt;&gt;"",(D21*(1+(('Arnoud VDAB Pensioenopbouw'!$C$19)/100)))*(1+Blad2!E16/100),D21*(1+(('Arnoud VDAB Pensioenopbouw'!$C$19)/100)))</f>
        <v>30802</v>
      </c>
      <c r="E22" s="17">
        <f>(E21*(1+'Arnoud VDAB Pensioenopbouw'!$G$19/100))</f>
        <v>14802</v>
      </c>
      <c r="F22" s="17">
        <f t="shared" si="0"/>
        <v>16000</v>
      </c>
      <c r="G22" s="18">
        <f>'Arnoud VDAB Pensioenopbouw'!$D$19</f>
        <v>26.25</v>
      </c>
      <c r="H22" s="19">
        <f>F22*('Arnoud VDAB Pensioenopbouw'!$D$19/100)</f>
        <v>4200</v>
      </c>
      <c r="I22" s="20">
        <f>1+'Arnoud VDAB Pensioenopbouw'!$Q$19/100</f>
        <v>1.0269999999999999</v>
      </c>
      <c r="J22" s="21">
        <f>(Blad1!$C$71-C22)+$J$79</f>
        <v>39</v>
      </c>
      <c r="K22" s="22">
        <f>H22*((1+'Arnoud VDAB Pensioenopbouw'!$Q$19/100)^J22)</f>
        <v>11871.253818088069</v>
      </c>
      <c r="L22" s="23">
        <f t="shared" si="2"/>
        <v>119137.34196373662</v>
      </c>
      <c r="M22" s="178"/>
      <c r="N22" s="178"/>
      <c r="P22" s="108">
        <f>$F92*('Arnoud VDAB Pensioenopbouw'!$E$19*((100-(($C92-25)*($V$14)))/100))/100</f>
        <v>351.49781430067975</v>
      </c>
      <c r="Q22" s="106">
        <f t="shared" si="3"/>
        <v>2926.3885293346639</v>
      </c>
      <c r="R22" s="62">
        <f>P22*((1+'Arnoud VDAB Pensioenopbouw'!$J$19/100)^($C$136-C22))</f>
        <v>993.5047071587037</v>
      </c>
      <c r="S22" s="23">
        <f t="shared" si="4"/>
        <v>9190.9676824762537</v>
      </c>
      <c r="T22" s="39">
        <f>((K22/'Arnoud VDAB Pensioenopbouw'!$M$15)/R22)*100</f>
        <v>77.089452881687478</v>
      </c>
      <c r="X22" s="38">
        <f>Blad2!E17</f>
        <v>0</v>
      </c>
      <c r="AG22" s="16">
        <v>33</v>
      </c>
      <c r="AH22" s="17">
        <f>IF(Blad2!AG16&lt;&gt;"",(AH21*(1+(('Arnoud VDAB Pensioenopbouw'!$C$19)/100)))*(1+Blad2!AG16/100),AH21*(1+(('Arnoud VDAB Pensioenopbouw'!$C$19)/100)))</f>
        <v>0</v>
      </c>
      <c r="AI22" s="17">
        <f>(AI21*(1+'Arnoud VDAB Pensioenopbouw'!$G$19/100))</f>
        <v>0</v>
      </c>
      <c r="AJ22" s="17">
        <f t="shared" si="1"/>
        <v>0</v>
      </c>
      <c r="AK22" s="18">
        <f>'Arnoud VDAB Pensioenopbouw'!$D$19</f>
        <v>26.25</v>
      </c>
      <c r="AL22" s="19">
        <f>AJ22*('Arnoud VDAB Pensioenopbouw'!$D$19/100)</f>
        <v>0</v>
      </c>
      <c r="AM22" s="20">
        <f>1+'Arnoud VDAB Pensioenopbouw'!$Q$19/100</f>
        <v>1.0269999999999999</v>
      </c>
      <c r="AN22" s="21">
        <f>(Blad1!$C$71-AG22)+$J$79</f>
        <v>34</v>
      </c>
      <c r="AO22" s="22">
        <f>AL22*((1+'Arnoud VDAB Pensioenopbouw'!$Q$19/100)^AN22)</f>
        <v>0</v>
      </c>
      <c r="AP22" s="23">
        <f t="shared" si="5"/>
        <v>0</v>
      </c>
      <c r="AR22" s="108">
        <f>$F92*('Arnoud VDAB Pensioenopbouw'!$E$19*((100-(($C92-25)*($V$14)))/100))/100</f>
        <v>351.49781430067975</v>
      </c>
      <c r="AS22" s="106">
        <f t="shared" si="6"/>
        <v>2926.3885293346639</v>
      </c>
      <c r="AT22" s="62">
        <f>AR22*((1+'Arnoud VDAB Pensioenopbouw'!$J$19/100)^($C$136-AG22))</f>
        <v>869.59635585922865</v>
      </c>
      <c r="AU22" s="23">
        <f t="shared" si="7"/>
        <v>8044.6845857012831</v>
      </c>
      <c r="AV22" s="39">
        <f>((AO22/'Arnoud VDAB Pensioenopbouw'!$M$15)/AT22)*100</f>
        <v>0</v>
      </c>
    </row>
    <row r="23" spans="3:48" ht="15" thickBot="1" x14ac:dyDescent="0.35">
      <c r="C23" s="16">
        <v>29</v>
      </c>
      <c r="D23" s="17">
        <f>IF(Blad2!E17&lt;&gt;"",(D22*(1+(('Arnoud VDAB Pensioenopbouw'!$C$19)/100)))*(1+Blad2!E17/100),D22*(1+(('Arnoud VDAB Pensioenopbouw'!$C$19)/100)))</f>
        <v>30802</v>
      </c>
      <c r="E23" s="17">
        <f>(E22*(1+'Arnoud VDAB Pensioenopbouw'!$G$19/100))</f>
        <v>14802</v>
      </c>
      <c r="F23" s="17">
        <f t="shared" si="0"/>
        <v>16000</v>
      </c>
      <c r="G23" s="18">
        <f>'Arnoud VDAB Pensioenopbouw'!$D$19</f>
        <v>26.25</v>
      </c>
      <c r="H23" s="19">
        <f>F23*('Arnoud VDAB Pensioenopbouw'!$D$19/100)</f>
        <v>4200</v>
      </c>
      <c r="I23" s="20">
        <f>1+'Arnoud VDAB Pensioenopbouw'!$Q$19/100</f>
        <v>1.0269999999999999</v>
      </c>
      <c r="J23" s="21">
        <f>(Blad1!$C$71-C23)+$J$79</f>
        <v>38</v>
      </c>
      <c r="K23" s="22">
        <f>H23*((1+'Arnoud VDAB Pensioenopbouw'!$Q$19/100)^J23)</f>
        <v>11559.156590153914</v>
      </c>
      <c r="L23" s="23">
        <f t="shared" si="2"/>
        <v>130696.49855389053</v>
      </c>
      <c r="M23" s="178"/>
      <c r="N23" s="178"/>
      <c r="P23" s="108">
        <f>$F93*('Arnoud VDAB Pensioenopbouw'!$E$19*((100-(($C93-25)*($V$14)))/100))/100</f>
        <v>358.52777058669324</v>
      </c>
      <c r="Q23" s="106">
        <f t="shared" si="3"/>
        <v>3284.9162999213572</v>
      </c>
      <c r="R23" s="62">
        <f>P23*((1+'Arnoud VDAB Pensioenopbouw'!$J$19/100)^($C$136-C23))</f>
        <v>986.73301003103938</v>
      </c>
      <c r="S23" s="23">
        <f t="shared" si="4"/>
        <v>10177.700692507293</v>
      </c>
      <c r="T23" s="39">
        <f>((K23/'Arnoud VDAB Pensioenopbouw'!$M$15)/R23)*100</f>
        <v>75.577894982046573</v>
      </c>
      <c r="X23" s="38">
        <f>Blad2!E18</f>
        <v>0</v>
      </c>
      <c r="AG23" s="16">
        <v>34</v>
      </c>
      <c r="AH23" s="17">
        <f>IF(Blad2!AG17&lt;&gt;"",(AH22*(1+(('Arnoud VDAB Pensioenopbouw'!$C$19)/100)))*(1+Blad2!AG17/100),AH22*(1+(('Arnoud VDAB Pensioenopbouw'!$C$19)/100)))</f>
        <v>0</v>
      </c>
      <c r="AI23" s="17">
        <f>(AI22*(1+'Arnoud VDAB Pensioenopbouw'!$G$19/100))</f>
        <v>0</v>
      </c>
      <c r="AJ23" s="17">
        <f t="shared" si="1"/>
        <v>0</v>
      </c>
      <c r="AK23" s="18">
        <f>'Arnoud VDAB Pensioenopbouw'!$D$19</f>
        <v>26.25</v>
      </c>
      <c r="AL23" s="19">
        <f>AJ23*('Arnoud VDAB Pensioenopbouw'!$D$19/100)</f>
        <v>0</v>
      </c>
      <c r="AM23" s="20">
        <f>1+'Arnoud VDAB Pensioenopbouw'!$Q$19/100</f>
        <v>1.0269999999999999</v>
      </c>
      <c r="AN23" s="21">
        <f>(Blad1!$C$71-AG23)+$J$79</f>
        <v>33</v>
      </c>
      <c r="AO23" s="22">
        <f>AL23*((1+'Arnoud VDAB Pensioenopbouw'!$Q$19/100)^AN23)</f>
        <v>0</v>
      </c>
      <c r="AP23" s="23">
        <f t="shared" si="5"/>
        <v>0</v>
      </c>
      <c r="AR23" s="108">
        <f>$F93*('Arnoud VDAB Pensioenopbouw'!$E$19*((100-(($C93-25)*($V$14)))/100))/100</f>
        <v>358.52777058669324</v>
      </c>
      <c r="AS23" s="106">
        <f t="shared" si="6"/>
        <v>3284.9162999213572</v>
      </c>
      <c r="AT23" s="62">
        <f>AR23*((1+'Arnoud VDAB Pensioenopbouw'!$J$19/100)^($C$136-AG23))</f>
        <v>863.66921419319681</v>
      </c>
      <c r="AU23" s="23">
        <f t="shared" si="7"/>
        <v>8908.3537998944794</v>
      </c>
      <c r="AV23" s="39">
        <f>((AO23/'Arnoud VDAB Pensioenopbouw'!$M$15)/AT23)*100</f>
        <v>0</v>
      </c>
    </row>
    <row r="24" spans="3:48" ht="15" thickBot="1" x14ac:dyDescent="0.35">
      <c r="C24" s="43">
        <v>30</v>
      </c>
      <c r="D24" s="44">
        <f>IF(Blad2!E18&lt;&gt;"",(D23*(1+(('Arnoud VDAB Pensioenopbouw'!$C$19)/100)))*(1+Blad2!E18/100),D23*(1+(('Arnoud VDAB Pensioenopbouw'!$C$19)/100)))</f>
        <v>30802</v>
      </c>
      <c r="E24" s="44">
        <f>(E23*(1+'Arnoud VDAB Pensioenopbouw'!$G$19/100))</f>
        <v>14802</v>
      </c>
      <c r="F24" s="44">
        <f t="shared" si="0"/>
        <v>16000</v>
      </c>
      <c r="G24" s="45">
        <f>'Arnoud VDAB Pensioenopbouw'!$D$19</f>
        <v>26.25</v>
      </c>
      <c r="H24" s="46">
        <f>F24*('Arnoud VDAB Pensioenopbouw'!$D$19/100)</f>
        <v>4200</v>
      </c>
      <c r="I24" s="47">
        <f>1+'Arnoud VDAB Pensioenopbouw'!$Q$19/100</f>
        <v>1.0269999999999999</v>
      </c>
      <c r="J24" s="48">
        <f>(Blad1!$C$71-C24)+$J$79</f>
        <v>37</v>
      </c>
      <c r="K24" s="42">
        <f>H24*((1+'Arnoud VDAB Pensioenopbouw'!$Q$19/100)^J24)</f>
        <v>11255.264450003811</v>
      </c>
      <c r="L24" s="49">
        <f t="shared" si="2"/>
        <v>141951.76300389433</v>
      </c>
      <c r="M24" s="172"/>
      <c r="N24" s="172"/>
      <c r="P24" s="107">
        <f>$F94*('Arnoud VDAB Pensioenopbouw'!$E$19*((100-(($C94-25)*($V$14)))/100))/100</f>
        <v>365.69832599842709</v>
      </c>
      <c r="Q24" s="105">
        <f t="shared" si="3"/>
        <v>3650.6146259197844</v>
      </c>
      <c r="R24" s="52">
        <f>P24*((1+'Arnoud VDAB Pensioenopbouw'!$J$19/100)^($C$136-C24))</f>
        <v>980.00746858000025</v>
      </c>
      <c r="S24" s="49">
        <f t="shared" si="4"/>
        <v>11157.708161087294</v>
      </c>
      <c r="T24" s="51">
        <f>((K24/'Arnoud VDAB Pensioenopbouw'!$M$15)/R24)*100</f>
        <v>74.095975472594674</v>
      </c>
      <c r="X24" s="38">
        <f>Blad2!E19</f>
        <v>0</v>
      </c>
      <c r="AG24" s="43">
        <v>35</v>
      </c>
      <c r="AH24" s="44">
        <f>IF(Blad2!AG18&lt;&gt;"",(AH23*(1+(('Arnoud VDAB Pensioenopbouw'!$C$19)/100)))*(1+Blad2!AG18/100),AH23*(1+(('Arnoud VDAB Pensioenopbouw'!$C$19)/100)))</f>
        <v>0</v>
      </c>
      <c r="AI24" s="44">
        <f>(AI23*(1+'Arnoud VDAB Pensioenopbouw'!$G$19/100))</f>
        <v>0</v>
      </c>
      <c r="AJ24" s="44">
        <f t="shared" si="1"/>
        <v>0</v>
      </c>
      <c r="AK24" s="45">
        <f>'Arnoud VDAB Pensioenopbouw'!$D$19</f>
        <v>26.25</v>
      </c>
      <c r="AL24" s="46">
        <f>AJ24*('Arnoud VDAB Pensioenopbouw'!$D$19/100)</f>
        <v>0</v>
      </c>
      <c r="AM24" s="47">
        <f>1+'Arnoud VDAB Pensioenopbouw'!$Q$19/100</f>
        <v>1.0269999999999999</v>
      </c>
      <c r="AN24" s="48">
        <f>(Blad1!$C$71-AG24)+$J$79</f>
        <v>32</v>
      </c>
      <c r="AO24" s="42">
        <f>AL24*((1+'Arnoud VDAB Pensioenopbouw'!$Q$19/100)^AN24)</f>
        <v>0</v>
      </c>
      <c r="AP24" s="49">
        <f t="shared" si="5"/>
        <v>0</v>
      </c>
      <c r="AR24" s="107">
        <f>$F94*('Arnoud VDAB Pensioenopbouw'!$E$19*((100-(($C94-25)*($V$14)))/100))/100</f>
        <v>365.69832599842709</v>
      </c>
      <c r="AS24" s="105">
        <f t="shared" si="6"/>
        <v>3650.6146259197844</v>
      </c>
      <c r="AT24" s="52">
        <f>AR24*((1+'Arnoud VDAB Pensioenopbouw'!$J$19/100)^($C$136-AG24))</f>
        <v>857.78247174007856</v>
      </c>
      <c r="AU24" s="49">
        <f t="shared" si="7"/>
        <v>9766.1362716345575</v>
      </c>
      <c r="AV24" s="51">
        <f>((AO24/'Arnoud VDAB Pensioenopbouw'!$M$15)/AT24)*100</f>
        <v>0</v>
      </c>
    </row>
    <row r="25" spans="3:48" ht="15" thickBot="1" x14ac:dyDescent="0.35">
      <c r="C25" s="16">
        <v>31</v>
      </c>
      <c r="D25" s="17">
        <f>IF(Blad2!E19&lt;&gt;"",(D24*(1+(('Arnoud VDAB Pensioenopbouw'!$C$19)/100)))*(1+Blad2!E19/100),D24*(1+(('Arnoud VDAB Pensioenopbouw'!$C$19)/100)))</f>
        <v>30802</v>
      </c>
      <c r="E25" s="17">
        <f>(E24*(1+'Arnoud VDAB Pensioenopbouw'!$G$19/100))</f>
        <v>14802</v>
      </c>
      <c r="F25" s="17">
        <f t="shared" si="0"/>
        <v>16000</v>
      </c>
      <c r="G25" s="18">
        <f>'Arnoud VDAB Pensioenopbouw'!$D$19</f>
        <v>26.25</v>
      </c>
      <c r="H25" s="19">
        <f>F25*('Arnoud VDAB Pensioenopbouw'!$D$19/100)</f>
        <v>4200</v>
      </c>
      <c r="I25" s="20">
        <f>1+'Arnoud VDAB Pensioenopbouw'!$Q$19/100</f>
        <v>1.0269999999999999</v>
      </c>
      <c r="J25" s="21">
        <f>(Blad1!$C$71-C25)+$J$79</f>
        <v>36</v>
      </c>
      <c r="K25" s="22">
        <f>H25*((1+'Arnoud VDAB Pensioenopbouw'!$Q$19/100)^J25)</f>
        <v>10959.361684521728</v>
      </c>
      <c r="L25" s="23">
        <f t="shared" si="2"/>
        <v>152911.12468841605</v>
      </c>
      <c r="M25" s="178"/>
      <c r="N25" s="178"/>
      <c r="P25" s="108">
        <f>$F95*('Arnoud VDAB Pensioenopbouw'!$E$19*((100-(($C95-25)*($V$14)))/100))/100</f>
        <v>373.01229251839561</v>
      </c>
      <c r="Q25" s="106">
        <f t="shared" si="3"/>
        <v>4023.6269184381799</v>
      </c>
      <c r="R25" s="62">
        <f>P25*((1+'Arnoud VDAB Pensioenopbouw'!$J$19/100)^($C$136-C25))</f>
        <v>973.32776820993217</v>
      </c>
      <c r="S25" s="23">
        <f t="shared" si="4"/>
        <v>12131.035929297226</v>
      </c>
      <c r="T25" s="39">
        <f>((K25/'Arnoud VDAB Pensioenopbouw'!$M$15)/R25)*100</f>
        <v>72.643113208426172</v>
      </c>
      <c r="X25" s="38">
        <f>Blad2!E20</f>
        <v>0</v>
      </c>
      <c r="AG25" s="16">
        <v>36</v>
      </c>
      <c r="AH25" s="17">
        <f>IF(Blad2!AG19&lt;&gt;"",(AH24*(1+(('Arnoud VDAB Pensioenopbouw'!$C$19)/100)))*(1+Blad2!AG19/100),AH24*(1+(('Arnoud VDAB Pensioenopbouw'!$C$19)/100)))</f>
        <v>0</v>
      </c>
      <c r="AI25" s="17">
        <f>(AI24*(1+'Arnoud VDAB Pensioenopbouw'!$G$19/100))</f>
        <v>0</v>
      </c>
      <c r="AJ25" s="17">
        <f t="shared" si="1"/>
        <v>0</v>
      </c>
      <c r="AK25" s="18">
        <f>'Arnoud VDAB Pensioenopbouw'!$D$19</f>
        <v>26.25</v>
      </c>
      <c r="AL25" s="19">
        <f>AJ25*('Arnoud VDAB Pensioenopbouw'!$D$19/100)</f>
        <v>0</v>
      </c>
      <c r="AM25" s="20">
        <f>1+'Arnoud VDAB Pensioenopbouw'!$Q$19/100</f>
        <v>1.0269999999999999</v>
      </c>
      <c r="AN25" s="21">
        <f>(Blad1!$C$71-AG25)+$J$79</f>
        <v>31</v>
      </c>
      <c r="AO25" s="22">
        <f>AL25*((1+'Arnoud VDAB Pensioenopbouw'!$Q$19/100)^AN25)</f>
        <v>0</v>
      </c>
      <c r="AP25" s="23">
        <f t="shared" si="5"/>
        <v>0</v>
      </c>
      <c r="AR25" s="108">
        <f>$F95*('Arnoud VDAB Pensioenopbouw'!$E$19*((100-(($C95-25)*($V$14)))/100))/100</f>
        <v>373.01229251839561</v>
      </c>
      <c r="AS25" s="106">
        <f t="shared" si="6"/>
        <v>4023.6269184381799</v>
      </c>
      <c r="AT25" s="62">
        <f>AR25*((1+'Arnoud VDAB Pensioenopbouw'!$J$19/100)^($C$136-AG25))</f>
        <v>851.93585314009761</v>
      </c>
      <c r="AU25" s="23">
        <f t="shared" si="7"/>
        <v>10618.072124774655</v>
      </c>
      <c r="AV25" s="39">
        <f>((AO25/'Arnoud VDAB Pensioenopbouw'!$M$15)/AT25)*100</f>
        <v>0</v>
      </c>
    </row>
    <row r="26" spans="3:48" ht="15" thickBot="1" x14ac:dyDescent="0.35">
      <c r="C26" s="16">
        <v>32</v>
      </c>
      <c r="D26" s="17">
        <f>IF(Blad2!E20&lt;&gt;"",(D25*(1+(('Arnoud VDAB Pensioenopbouw'!$C$19)/100)))*(1+Blad2!E20/100),D25*(1+(('Arnoud VDAB Pensioenopbouw'!$C$19)/100)))</f>
        <v>30802</v>
      </c>
      <c r="E26" s="17">
        <f>(E25*(1+'Arnoud VDAB Pensioenopbouw'!$G$19/100))</f>
        <v>14802</v>
      </c>
      <c r="F26" s="17">
        <f t="shared" si="0"/>
        <v>16000</v>
      </c>
      <c r="G26" s="18">
        <f>'Arnoud VDAB Pensioenopbouw'!$D$19</f>
        <v>26.25</v>
      </c>
      <c r="H26" s="19">
        <f>F26*('Arnoud VDAB Pensioenopbouw'!$D$19/100)</f>
        <v>4200</v>
      </c>
      <c r="I26" s="20">
        <f>1+'Arnoud VDAB Pensioenopbouw'!$Q$19/100</f>
        <v>1.0269999999999999</v>
      </c>
      <c r="J26" s="21">
        <f>(Blad1!$C$71-C26)+$J$79</f>
        <v>35</v>
      </c>
      <c r="K26" s="22">
        <f>H26*((1+'Arnoud VDAB Pensioenopbouw'!$Q$19/100)^J26)</f>
        <v>10671.238251725148</v>
      </c>
      <c r="L26" s="23">
        <f t="shared" si="2"/>
        <v>163582.3629401412</v>
      </c>
      <c r="M26" s="178"/>
      <c r="N26" s="178"/>
      <c r="P26" s="108">
        <f>$F96*('Arnoud VDAB Pensioenopbouw'!$E$19*((100-(($C96-25)*($V$14)))/100))/100</f>
        <v>380.47253836876348</v>
      </c>
      <c r="Q26" s="106">
        <f t="shared" si="3"/>
        <v>4404.0994568069436</v>
      </c>
      <c r="R26" s="62">
        <f>P26*((1+'Arnoud VDAB Pensioenopbouw'!$J$19/100)^($C$136-C26))</f>
        <v>966.69359646945554</v>
      </c>
      <c r="S26" s="23">
        <f t="shared" si="4"/>
        <v>13097.729525766681</v>
      </c>
      <c r="T26" s="39">
        <f>((K26/'Arnoud VDAB Pensioenopbouw'!$M$15)/R26)*100</f>
        <v>71.218738439633483</v>
      </c>
      <c r="X26" s="38">
        <f>Blad2!E21</f>
        <v>0</v>
      </c>
      <c r="AG26" s="16">
        <v>37</v>
      </c>
      <c r="AH26" s="17">
        <f>IF(Blad2!AG20&lt;&gt;"",(AH25*(1+(('Arnoud VDAB Pensioenopbouw'!$C$19)/100)))*(1+Blad2!AG20/100),AH25*(1+(('Arnoud VDAB Pensioenopbouw'!$C$19)/100)))</f>
        <v>0</v>
      </c>
      <c r="AI26" s="17">
        <f>(AI25*(1+'Arnoud VDAB Pensioenopbouw'!$G$19/100))</f>
        <v>0</v>
      </c>
      <c r="AJ26" s="17">
        <f t="shared" si="1"/>
        <v>0</v>
      </c>
      <c r="AK26" s="18">
        <f>'Arnoud VDAB Pensioenopbouw'!$D$19</f>
        <v>26.25</v>
      </c>
      <c r="AL26" s="19">
        <f>AJ26*('Arnoud VDAB Pensioenopbouw'!$D$19/100)</f>
        <v>0</v>
      </c>
      <c r="AM26" s="20">
        <f>1+'Arnoud VDAB Pensioenopbouw'!$Q$19/100</f>
        <v>1.0269999999999999</v>
      </c>
      <c r="AN26" s="21">
        <f>(Blad1!$C$71-AG26)+$J$79</f>
        <v>30</v>
      </c>
      <c r="AO26" s="22">
        <f>AL26*((1+'Arnoud VDAB Pensioenopbouw'!$Q$19/100)^AN26)</f>
        <v>0</v>
      </c>
      <c r="AP26" s="23">
        <f t="shared" si="5"/>
        <v>0</v>
      </c>
      <c r="AR26" s="108">
        <f>$F96*('Arnoud VDAB Pensioenopbouw'!$E$19*((100-(($C96-25)*($V$14)))/100))/100</f>
        <v>380.47253836876348</v>
      </c>
      <c r="AS26" s="106">
        <f t="shared" si="6"/>
        <v>4404.0994568069436</v>
      </c>
      <c r="AT26" s="62">
        <f>AR26*((1+'Arnoud VDAB Pensioenopbouw'!$J$19/100)^($C$136-AG26))</f>
        <v>846.12908491032078</v>
      </c>
      <c r="AU26" s="23">
        <f t="shared" si="7"/>
        <v>11464.201209684976</v>
      </c>
      <c r="AV26" s="39">
        <f>((AO26/'Arnoud VDAB Pensioenopbouw'!$M$15)/AT26)*100</f>
        <v>0</v>
      </c>
    </row>
    <row r="27" spans="3:48" ht="15" thickBot="1" x14ac:dyDescent="0.35">
      <c r="C27" s="16">
        <v>33</v>
      </c>
      <c r="D27" s="17">
        <f>IF(Blad2!E21&lt;&gt;"",(D26*(1+(('Arnoud VDAB Pensioenopbouw'!$C$19)/100)))*(1+Blad2!E21/100),D26*(1+(('Arnoud VDAB Pensioenopbouw'!$C$19)/100)))</f>
        <v>30802</v>
      </c>
      <c r="E27" s="17">
        <f>(E26*(1+'Arnoud VDAB Pensioenopbouw'!$G$19/100))</f>
        <v>14802</v>
      </c>
      <c r="F27" s="17">
        <f t="shared" si="0"/>
        <v>16000</v>
      </c>
      <c r="G27" s="18">
        <f>'Arnoud VDAB Pensioenopbouw'!$D$19</f>
        <v>26.25</v>
      </c>
      <c r="H27" s="19">
        <f>F27*('Arnoud VDAB Pensioenopbouw'!$D$19/100)</f>
        <v>4200</v>
      </c>
      <c r="I27" s="20">
        <f>1+'Arnoud VDAB Pensioenopbouw'!$Q$19/100</f>
        <v>1.0269999999999999</v>
      </c>
      <c r="J27" s="21">
        <f>(Blad1!$C$71-C27)+$J$79</f>
        <v>34</v>
      </c>
      <c r="K27" s="22">
        <f>H27*((1+'Arnoud VDAB Pensioenopbouw'!$Q$19/100)^J27)</f>
        <v>10390.689631670057</v>
      </c>
      <c r="L27" s="23">
        <f t="shared" si="2"/>
        <v>173973.05257181125</v>
      </c>
      <c r="M27" s="178"/>
      <c r="N27" s="178"/>
      <c r="P27" s="108">
        <f>$F97*('Arnoud VDAB Pensioenopbouw'!$E$19*((100-(($C97-25)*($V$14)))/100))/100</f>
        <v>388.0819891361387</v>
      </c>
      <c r="Q27" s="106">
        <f t="shared" si="3"/>
        <v>4792.1814459430825</v>
      </c>
      <c r="R27" s="62">
        <f>P27*((1+'Arnoud VDAB Pensioenopbouw'!$J$19/100)^($C$136-C27))</f>
        <v>960.10464303684955</v>
      </c>
      <c r="S27" s="23">
        <f t="shared" si="4"/>
        <v>14057.834168803531</v>
      </c>
      <c r="T27" s="39">
        <f>((K27/'Arnoud VDAB Pensioenopbouw'!$M$15)/R27)*100</f>
        <v>69.822292587875978</v>
      </c>
      <c r="X27" s="38">
        <f>Blad2!E22</f>
        <v>0</v>
      </c>
      <c r="AG27" s="16">
        <v>38</v>
      </c>
      <c r="AH27" s="17">
        <f>IF(Blad2!AG21&lt;&gt;"",(AH26*(1+(('Arnoud VDAB Pensioenopbouw'!$C$19)/100)))*(1+Blad2!AG21/100),AH26*(1+(('Arnoud VDAB Pensioenopbouw'!$C$19)/100)))</f>
        <v>0</v>
      </c>
      <c r="AI27" s="17">
        <f>(AI26*(1+'Arnoud VDAB Pensioenopbouw'!$G$19/100))</f>
        <v>0</v>
      </c>
      <c r="AJ27" s="17">
        <f t="shared" si="1"/>
        <v>0</v>
      </c>
      <c r="AK27" s="18">
        <f>'Arnoud VDAB Pensioenopbouw'!$D$19</f>
        <v>26.25</v>
      </c>
      <c r="AL27" s="19">
        <f>AJ27*('Arnoud VDAB Pensioenopbouw'!$D$19/100)</f>
        <v>0</v>
      </c>
      <c r="AM27" s="20">
        <f>1+'Arnoud VDAB Pensioenopbouw'!$Q$19/100</f>
        <v>1.0269999999999999</v>
      </c>
      <c r="AN27" s="21">
        <f>(Blad1!$C$71-AG27)+$J$79</f>
        <v>29</v>
      </c>
      <c r="AO27" s="22">
        <f>AL27*((1+'Arnoud VDAB Pensioenopbouw'!$Q$19/100)^AN27)</f>
        <v>0</v>
      </c>
      <c r="AP27" s="23">
        <f t="shared" si="5"/>
        <v>0</v>
      </c>
      <c r="AR27" s="108">
        <f>$F97*('Arnoud VDAB Pensioenopbouw'!$E$19*((100-(($C97-25)*($V$14)))/100))/100</f>
        <v>388.0819891361387</v>
      </c>
      <c r="AS27" s="106">
        <f t="shared" si="6"/>
        <v>4792.1814459430825</v>
      </c>
      <c r="AT27" s="62">
        <f>AR27*((1+'Arnoud VDAB Pensioenopbouw'!$J$19/100)^($C$136-AG27))</f>
        <v>840.36189543186686</v>
      </c>
      <c r="AU27" s="23">
        <f t="shared" si="7"/>
        <v>12304.563105116842</v>
      </c>
      <c r="AV27" s="39">
        <f>((AO27/'Arnoud VDAB Pensioenopbouw'!$M$15)/AT27)*100</f>
        <v>0</v>
      </c>
    </row>
    <row r="28" spans="3:48" ht="15" thickBot="1" x14ac:dyDescent="0.35">
      <c r="C28" s="16">
        <v>34</v>
      </c>
      <c r="D28" s="17">
        <f>IF(Blad2!E22&lt;&gt;"",(D27*(1+(('Arnoud VDAB Pensioenopbouw'!$C$19)/100)))*(1+Blad2!E22/100),D27*(1+(('Arnoud VDAB Pensioenopbouw'!$C$19)/100)))</f>
        <v>30802</v>
      </c>
      <c r="E28" s="17">
        <f>(E27*(1+'Arnoud VDAB Pensioenopbouw'!$G$19/100))</f>
        <v>14802</v>
      </c>
      <c r="F28" s="17">
        <f t="shared" si="0"/>
        <v>16000</v>
      </c>
      <c r="G28" s="18">
        <f>'Arnoud VDAB Pensioenopbouw'!$D$19</f>
        <v>26.25</v>
      </c>
      <c r="H28" s="19">
        <f>F28*('Arnoud VDAB Pensioenopbouw'!$D$19/100)</f>
        <v>4200</v>
      </c>
      <c r="I28" s="20">
        <f>1+'Arnoud VDAB Pensioenopbouw'!$Q$19/100</f>
        <v>1.0269999999999999</v>
      </c>
      <c r="J28" s="21">
        <f>(Blad1!$C$71-C28)+$J$79</f>
        <v>33</v>
      </c>
      <c r="K28" s="22">
        <f>H28*((1+'Arnoud VDAB Pensioenopbouw'!$Q$19/100)^J28)</f>
        <v>10117.516681275618</v>
      </c>
      <c r="L28" s="23">
        <f t="shared" si="2"/>
        <v>184090.56925308687</v>
      </c>
      <c r="M28" s="178"/>
      <c r="N28" s="178"/>
      <c r="P28" s="108">
        <f>$F98*('Arnoud VDAB Pensioenopbouw'!$E$19*((100-(($C98-25)*($V$14)))/100))/100</f>
        <v>395.8436289188615</v>
      </c>
      <c r="Q28" s="106">
        <f t="shared" si="3"/>
        <v>5188.0250748619437</v>
      </c>
      <c r="R28" s="62">
        <f>P28*((1+'Arnoud VDAB Pensioenopbouw'!$J$19/100)^($C$136-C28))</f>
        <v>953.56059970553724</v>
      </c>
      <c r="S28" s="23">
        <f t="shared" si="4"/>
        <v>15011.394768509068</v>
      </c>
      <c r="T28" s="39">
        <f>((K28/'Arnoud VDAB Pensioenopbouw'!$M$15)/R28)*100</f>
        <v>68.453228027329402</v>
      </c>
      <c r="X28" s="38">
        <f>Blad2!E23</f>
        <v>0</v>
      </c>
      <c r="AG28" s="16">
        <v>39</v>
      </c>
      <c r="AH28" s="17">
        <f>IF(Blad2!AG22&lt;&gt;"",(AH27*(1+(('Arnoud VDAB Pensioenopbouw'!$C$19)/100)))*(1+Blad2!AG22/100),AH27*(1+(('Arnoud VDAB Pensioenopbouw'!$C$19)/100)))</f>
        <v>0</v>
      </c>
      <c r="AI28" s="17">
        <f>(AI27*(1+'Arnoud VDAB Pensioenopbouw'!$G$19/100))</f>
        <v>0</v>
      </c>
      <c r="AJ28" s="17">
        <f t="shared" si="1"/>
        <v>0</v>
      </c>
      <c r="AK28" s="18">
        <f>'Arnoud VDAB Pensioenopbouw'!$D$19</f>
        <v>26.25</v>
      </c>
      <c r="AL28" s="19">
        <f>AJ28*('Arnoud VDAB Pensioenopbouw'!$D$19/100)</f>
        <v>0</v>
      </c>
      <c r="AM28" s="20">
        <f>1+'Arnoud VDAB Pensioenopbouw'!$Q$19/100</f>
        <v>1.0269999999999999</v>
      </c>
      <c r="AN28" s="21">
        <f>(Blad1!$C$71-AG28)+$J$79</f>
        <v>28</v>
      </c>
      <c r="AO28" s="22">
        <f>AL28*((1+'Arnoud VDAB Pensioenopbouw'!$Q$19/100)^AN28)</f>
        <v>0</v>
      </c>
      <c r="AP28" s="23">
        <f t="shared" si="5"/>
        <v>0</v>
      </c>
      <c r="AR28" s="108">
        <f>$F98*('Arnoud VDAB Pensioenopbouw'!$E$19*((100-(($C98-25)*($V$14)))/100))/100</f>
        <v>395.8436289188615</v>
      </c>
      <c r="AS28" s="106">
        <f t="shared" si="6"/>
        <v>5188.0250748619437</v>
      </c>
      <c r="AT28" s="62">
        <f>AR28*((1+'Arnoud VDAB Pensioenopbouw'!$J$19/100)^($C$136-AG28))</f>
        <v>834.63401493719994</v>
      </c>
      <c r="AU28" s="23">
        <f t="shared" si="7"/>
        <v>13139.197120054043</v>
      </c>
      <c r="AV28" s="39">
        <f>((AO28/'Arnoud VDAB Pensioenopbouw'!$M$15)/AT28)*100</f>
        <v>0</v>
      </c>
    </row>
    <row r="29" spans="3:48" ht="15" thickBot="1" x14ac:dyDescent="0.35">
      <c r="C29" s="16">
        <v>35</v>
      </c>
      <c r="D29" s="17">
        <f>IF(Blad2!E23&lt;&gt;"",(D28*(1+(('Arnoud VDAB Pensioenopbouw'!$C$19)/100)))*(1+Blad2!E23/100),D28*(1+(('Arnoud VDAB Pensioenopbouw'!$C$19)/100)))</f>
        <v>30802</v>
      </c>
      <c r="E29" s="17">
        <f>(E28*(1+'Arnoud VDAB Pensioenopbouw'!$G$19/100))</f>
        <v>14802</v>
      </c>
      <c r="F29" s="17">
        <f t="shared" si="0"/>
        <v>16000</v>
      </c>
      <c r="G29" s="18">
        <f>'Arnoud VDAB Pensioenopbouw'!$D$19</f>
        <v>26.25</v>
      </c>
      <c r="H29" s="19">
        <f>F29*('Arnoud VDAB Pensioenopbouw'!$D$19/100)</f>
        <v>4200</v>
      </c>
      <c r="I29" s="20">
        <f>1+'Arnoud VDAB Pensioenopbouw'!$Q$19/100</f>
        <v>1.0269999999999999</v>
      </c>
      <c r="J29" s="21">
        <f>(Blad1!$C$71-C29)+$J$79</f>
        <v>32</v>
      </c>
      <c r="K29" s="22">
        <f>H29*((1+'Arnoud VDAB Pensioenopbouw'!$Q$19/100)^J29)</f>
        <v>9851.5254929655475</v>
      </c>
      <c r="L29" s="23">
        <f t="shared" si="2"/>
        <v>193942.0947460524</v>
      </c>
      <c r="M29" s="178"/>
      <c r="N29" s="178"/>
      <c r="P29" s="108">
        <f>$F99*('Arnoud VDAB Pensioenopbouw'!$E$19*((100-(($C99-25)*($V$14)))/100))/100</f>
        <v>403.76050149723864</v>
      </c>
      <c r="Q29" s="106">
        <f t="shared" si="3"/>
        <v>5591.7855763591824</v>
      </c>
      <c r="R29" s="62">
        <f>P29*((1+'Arnoud VDAB Pensioenopbouw'!$J$19/100)^($C$136-C29))</f>
        <v>947.06116036966682</v>
      </c>
      <c r="S29" s="23">
        <f t="shared" si="4"/>
        <v>15958.455928878735</v>
      </c>
      <c r="T29" s="39">
        <f>((K29/'Arnoud VDAB Pensioenopbouw'!$M$15)/R29)*100</f>
        <v>67.111007869930788</v>
      </c>
      <c r="X29" s="38">
        <f>Blad2!E24</f>
        <v>0</v>
      </c>
      <c r="AG29" s="16">
        <v>40</v>
      </c>
      <c r="AH29" s="17">
        <f>IF(Blad2!AG23&lt;&gt;"",(AH28*(1+(('Arnoud VDAB Pensioenopbouw'!$C$19)/100)))*(1+Blad2!AG23/100),AH28*(1+(('Arnoud VDAB Pensioenopbouw'!$C$19)/100)))</f>
        <v>0</v>
      </c>
      <c r="AI29" s="17">
        <f>(AI28*(1+'Arnoud VDAB Pensioenopbouw'!$G$19/100))</f>
        <v>0</v>
      </c>
      <c r="AJ29" s="17">
        <f t="shared" si="1"/>
        <v>0</v>
      </c>
      <c r="AK29" s="18">
        <f>'Arnoud VDAB Pensioenopbouw'!$D$19</f>
        <v>26.25</v>
      </c>
      <c r="AL29" s="19">
        <f>AJ29*('Arnoud VDAB Pensioenopbouw'!$D$19/100)</f>
        <v>0</v>
      </c>
      <c r="AM29" s="20">
        <f>1+'Arnoud VDAB Pensioenopbouw'!$Q$19/100</f>
        <v>1.0269999999999999</v>
      </c>
      <c r="AN29" s="21">
        <f>(Blad1!$C$71-AG29)+$J$79</f>
        <v>27</v>
      </c>
      <c r="AO29" s="22">
        <f>AL29*((1+'Arnoud VDAB Pensioenopbouw'!$Q$19/100)^AN29)</f>
        <v>0</v>
      </c>
      <c r="AP29" s="23">
        <f t="shared" si="5"/>
        <v>0</v>
      </c>
      <c r="AR29" s="108">
        <f>$F99*('Arnoud VDAB Pensioenopbouw'!$E$19*((100-(($C99-25)*($V$14)))/100))/100</f>
        <v>403.76050149723864</v>
      </c>
      <c r="AS29" s="106">
        <f t="shared" si="6"/>
        <v>5591.7855763591824</v>
      </c>
      <c r="AT29" s="62">
        <f>AR29*((1+'Arnoud VDAB Pensioenopbouw'!$J$19/100)^($C$136-AG29))</f>
        <v>828.94517549751095</v>
      </c>
      <c r="AU29" s="23">
        <f t="shared" si="7"/>
        <v>13968.142295551554</v>
      </c>
      <c r="AV29" s="39">
        <f>((AO29/'Arnoud VDAB Pensioenopbouw'!$M$15)/AT29)*100</f>
        <v>0</v>
      </c>
    </row>
    <row r="30" spans="3:48" ht="15" thickBot="1" x14ac:dyDescent="0.35">
      <c r="C30" s="16">
        <v>36</v>
      </c>
      <c r="D30" s="17">
        <f>IF(Blad2!E24&lt;&gt;"",(D29*(1+(('Arnoud VDAB Pensioenopbouw'!$C$19)/100)))*(1+Blad2!E24/100),D29*(1+(('Arnoud VDAB Pensioenopbouw'!$C$19)/100)))</f>
        <v>30802</v>
      </c>
      <c r="E30" s="17">
        <f>(E29*(1+'Arnoud VDAB Pensioenopbouw'!$G$19/100))</f>
        <v>14802</v>
      </c>
      <c r="F30" s="17">
        <f t="shared" si="0"/>
        <v>16000</v>
      </c>
      <c r="G30" s="18">
        <f>'Arnoud VDAB Pensioenopbouw'!$D$19</f>
        <v>26.25</v>
      </c>
      <c r="H30" s="19">
        <f>F30*('Arnoud VDAB Pensioenopbouw'!$D$19/100)</f>
        <v>4200</v>
      </c>
      <c r="I30" s="20">
        <f>1+'Arnoud VDAB Pensioenopbouw'!$Q$19/100</f>
        <v>1.0269999999999999</v>
      </c>
      <c r="J30" s="21">
        <f>(Blad1!$C$71-C30)+$J$79</f>
        <v>31</v>
      </c>
      <c r="K30" s="22">
        <f>H30*((1+'Arnoud VDAB Pensioenopbouw'!$Q$19/100)^J30)</f>
        <v>9592.5272570258512</v>
      </c>
      <c r="L30" s="23">
        <f t="shared" si="2"/>
        <v>203534.62200307826</v>
      </c>
      <c r="M30" s="178"/>
      <c r="N30" s="178"/>
      <c r="P30" s="108">
        <f>$F100*('Arnoud VDAB Pensioenopbouw'!$E$19*((100-(($C100-25)*($V$14)))/100))/100</f>
        <v>411.83571152718343</v>
      </c>
      <c r="Q30" s="106">
        <f t="shared" si="3"/>
        <v>6003.6212878863662</v>
      </c>
      <c r="R30" s="62">
        <f>P30*((1+'Arnoud VDAB Pensioenopbouw'!$J$19/100)^($C$136-C30))</f>
        <v>940.60602100979588</v>
      </c>
      <c r="S30" s="23">
        <f t="shared" si="4"/>
        <v>16899.061949888532</v>
      </c>
      <c r="T30" s="39">
        <f>((K30/'Arnoud VDAB Pensioenopbouw'!$M$15)/R30)*100</f>
        <v>65.795105754834111</v>
      </c>
      <c r="X30" s="38">
        <f>Blad2!E25</f>
        <v>0</v>
      </c>
      <c r="AG30" s="16">
        <v>41</v>
      </c>
      <c r="AH30" s="17">
        <f>IF(Blad2!AG24&lt;&gt;"",(AH29*(1+(('Arnoud VDAB Pensioenopbouw'!$C$19)/100)))*(1+Blad2!AG24/100),AH29*(1+(('Arnoud VDAB Pensioenopbouw'!$C$19)/100)))</f>
        <v>0</v>
      </c>
      <c r="AI30" s="17">
        <f>(AI29*(1+'Arnoud VDAB Pensioenopbouw'!$G$19/100))</f>
        <v>0</v>
      </c>
      <c r="AJ30" s="17">
        <f t="shared" si="1"/>
        <v>0</v>
      </c>
      <c r="AK30" s="18">
        <f>'Arnoud VDAB Pensioenopbouw'!$D$19</f>
        <v>26.25</v>
      </c>
      <c r="AL30" s="19">
        <f>AJ30*('Arnoud VDAB Pensioenopbouw'!$D$19/100)</f>
        <v>0</v>
      </c>
      <c r="AM30" s="20">
        <f>1+'Arnoud VDAB Pensioenopbouw'!$Q$19/100</f>
        <v>1.0269999999999999</v>
      </c>
      <c r="AN30" s="21">
        <f>(Blad1!$C$71-AG30)+$J$79</f>
        <v>26</v>
      </c>
      <c r="AO30" s="22">
        <f>AL30*((1+'Arnoud VDAB Pensioenopbouw'!$Q$19/100)^AN30)</f>
        <v>0</v>
      </c>
      <c r="AP30" s="23">
        <f t="shared" si="5"/>
        <v>0</v>
      </c>
      <c r="AR30" s="108">
        <f>$F100*('Arnoud VDAB Pensioenopbouw'!$E$19*((100-(($C100-25)*($V$14)))/100))/100</f>
        <v>411.83571152718343</v>
      </c>
      <c r="AS30" s="106">
        <f t="shared" si="6"/>
        <v>6003.6212878863662</v>
      </c>
      <c r="AT30" s="62">
        <f>AR30*((1+'Arnoud VDAB Pensioenopbouw'!$J$19/100)^($C$136-AG30))</f>
        <v>823.29511101018625</v>
      </c>
      <c r="AU30" s="23">
        <f t="shared" si="7"/>
        <v>14791.437406561739</v>
      </c>
      <c r="AV30" s="39">
        <f>((AO30/'Arnoud VDAB Pensioenopbouw'!$M$15)/AT30)*100</f>
        <v>0</v>
      </c>
    </row>
    <row r="31" spans="3:48" ht="15" thickBot="1" x14ac:dyDescent="0.35">
      <c r="C31" s="16">
        <v>37</v>
      </c>
      <c r="D31" s="17">
        <f>IF(Blad2!E25&lt;&gt;"",(D30*(1+(('Arnoud VDAB Pensioenopbouw'!$C$19)/100)))*(1+Blad2!E25/100),D30*(1+(('Arnoud VDAB Pensioenopbouw'!$C$19)/100)))</f>
        <v>30802</v>
      </c>
      <c r="E31" s="17">
        <f>(E30*(1+'Arnoud VDAB Pensioenopbouw'!$G$19/100))</f>
        <v>14802</v>
      </c>
      <c r="F31" s="17">
        <f t="shared" si="0"/>
        <v>16000</v>
      </c>
      <c r="G31" s="18">
        <f>'Arnoud VDAB Pensioenopbouw'!$D$19</f>
        <v>26.25</v>
      </c>
      <c r="H31" s="19">
        <f>F31*('Arnoud VDAB Pensioenopbouw'!$D$19/100)</f>
        <v>4200</v>
      </c>
      <c r="I31" s="20">
        <f>1+'Arnoud VDAB Pensioenopbouw'!$Q$19/100</f>
        <v>1.0269999999999999</v>
      </c>
      <c r="J31" s="21">
        <f>(Blad1!$C$71-C31)+$J$79</f>
        <v>30</v>
      </c>
      <c r="K31" s="22">
        <f>H31*((1+'Arnoud VDAB Pensioenopbouw'!$Q$19/100)^J31)</f>
        <v>9340.3381275811589</v>
      </c>
      <c r="L31" s="23">
        <f t="shared" si="2"/>
        <v>212874.96013065943</v>
      </c>
      <c r="M31" s="178"/>
      <c r="N31" s="178"/>
      <c r="P31" s="108">
        <f>$F101*('Arnoud VDAB Pensioenopbouw'!$E$19*((100-(($C101-25)*($V$14)))/100))/100</f>
        <v>420.07242575772716</v>
      </c>
      <c r="Q31" s="106">
        <f t="shared" si="3"/>
        <v>6423.6937136440938</v>
      </c>
      <c r="R31" s="62">
        <f>P31*((1+'Arnoud VDAB Pensioenopbouw'!$J$19/100)^($C$136-C31))</f>
        <v>934.19487967866792</v>
      </c>
      <c r="S31" s="23">
        <f t="shared" si="4"/>
        <v>17833.256829567199</v>
      </c>
      <c r="T31" s="39">
        <f>((K31/'Arnoud VDAB Pensioenopbouw'!$M$15)/R31)*100</f>
        <v>64.505005641994217</v>
      </c>
      <c r="X31" s="38">
        <f>Blad2!E26</f>
        <v>0</v>
      </c>
      <c r="AG31" s="16">
        <v>42</v>
      </c>
      <c r="AH31" s="17">
        <f>IF(Blad2!AG25&lt;&gt;"",(AH30*(1+(('Arnoud VDAB Pensioenopbouw'!$C$19)/100)))*(1+Blad2!AG25/100),AH30*(1+(('Arnoud VDAB Pensioenopbouw'!$C$19)/100)))</f>
        <v>0</v>
      </c>
      <c r="AI31" s="17">
        <f>(AI30*(1+'Arnoud VDAB Pensioenopbouw'!$G$19/100))</f>
        <v>0</v>
      </c>
      <c r="AJ31" s="17">
        <f t="shared" si="1"/>
        <v>0</v>
      </c>
      <c r="AK31" s="18">
        <f>'Arnoud VDAB Pensioenopbouw'!$D$19</f>
        <v>26.25</v>
      </c>
      <c r="AL31" s="19">
        <f>AJ31*('Arnoud VDAB Pensioenopbouw'!$D$19/100)</f>
        <v>0</v>
      </c>
      <c r="AM31" s="20">
        <f>1+'Arnoud VDAB Pensioenopbouw'!$Q$19/100</f>
        <v>1.0269999999999999</v>
      </c>
      <c r="AN31" s="21">
        <f>(Blad1!$C$71-AG31)+$J$79</f>
        <v>25</v>
      </c>
      <c r="AO31" s="22">
        <f>AL31*((1+'Arnoud VDAB Pensioenopbouw'!$Q$19/100)^AN31)</f>
        <v>0</v>
      </c>
      <c r="AP31" s="23">
        <f t="shared" si="5"/>
        <v>0</v>
      </c>
      <c r="AR31" s="108">
        <f>$F101*('Arnoud VDAB Pensioenopbouw'!$E$19*((100-(($C101-25)*($V$14)))/100))/100</f>
        <v>420.07242575772716</v>
      </c>
      <c r="AS31" s="106">
        <f t="shared" si="6"/>
        <v>6423.6937136440938</v>
      </c>
      <c r="AT31" s="62">
        <f>AR31*((1+'Arnoud VDAB Pensioenopbouw'!$J$19/100)^($C$136-AG31))</f>
        <v>817.68355718635848</v>
      </c>
      <c r="AU31" s="23">
        <f t="shared" si="7"/>
        <v>15609.120963748097</v>
      </c>
      <c r="AV31" s="39">
        <f>((AO31/'Arnoud VDAB Pensioenopbouw'!$M$15)/AT31)*100</f>
        <v>0</v>
      </c>
    </row>
    <row r="32" spans="3:48" ht="15" thickBot="1" x14ac:dyDescent="0.35">
      <c r="C32" s="16">
        <v>38</v>
      </c>
      <c r="D32" s="17">
        <f>IF(Blad2!E26&lt;&gt;"",(D31*(1+(('Arnoud VDAB Pensioenopbouw'!$C$19)/100)))*(1+Blad2!E26/100),D31*(1+(('Arnoud VDAB Pensioenopbouw'!$C$19)/100)))</f>
        <v>30802</v>
      </c>
      <c r="E32" s="17">
        <f>(E31*(1+'Arnoud VDAB Pensioenopbouw'!$G$19/100))</f>
        <v>14802</v>
      </c>
      <c r="F32" s="17">
        <f t="shared" si="0"/>
        <v>16000</v>
      </c>
      <c r="G32" s="18">
        <f>'Arnoud VDAB Pensioenopbouw'!$D$19</f>
        <v>26.25</v>
      </c>
      <c r="H32" s="19">
        <f>F32*('Arnoud VDAB Pensioenopbouw'!$D$19/100)</f>
        <v>4200</v>
      </c>
      <c r="I32" s="20">
        <f>1+'Arnoud VDAB Pensioenopbouw'!$Q$19/100</f>
        <v>1.0269999999999999</v>
      </c>
      <c r="J32" s="21">
        <f>(Blad1!$C$71-C32)+$J$79</f>
        <v>29</v>
      </c>
      <c r="K32" s="22">
        <f>H32*((1+'Arnoud VDAB Pensioenopbouw'!$Q$19/100)^J32)</f>
        <v>9094.7790920946063</v>
      </c>
      <c r="L32" s="23">
        <f t="shared" si="2"/>
        <v>221969.73922275403</v>
      </c>
      <c r="M32" s="178"/>
      <c r="N32" s="178"/>
      <c r="P32" s="108">
        <f>$F102*('Arnoud VDAB Pensioenopbouw'!$E$19*((100-(($C102-25)*($V$14)))/100))/100</f>
        <v>428.4738742728818</v>
      </c>
      <c r="Q32" s="106">
        <f t="shared" si="3"/>
        <v>6852.1675879169752</v>
      </c>
      <c r="R32" s="62">
        <f>P32*((1+'Arnoud VDAB Pensioenopbouw'!$J$19/100)^($C$136-C32))</f>
        <v>927.82743648709015</v>
      </c>
      <c r="S32" s="23">
        <f t="shared" si="4"/>
        <v>18761.084266054288</v>
      </c>
      <c r="T32" s="39">
        <f>((K32/'Arnoud VDAB Pensioenopbouw'!$M$15)/R32)*100</f>
        <v>63.240201609798227</v>
      </c>
      <c r="X32" s="38">
        <f>Blad2!E27</f>
        <v>0</v>
      </c>
      <c r="AG32" s="16">
        <v>43</v>
      </c>
      <c r="AH32" s="17">
        <f>IF(Blad2!AG26&lt;&gt;"",(AH31*(1+(('Arnoud VDAB Pensioenopbouw'!$C$19)/100)))*(1+Blad2!AG26/100),AH31*(1+(('Arnoud VDAB Pensioenopbouw'!$C$19)/100)))</f>
        <v>0</v>
      </c>
      <c r="AI32" s="17">
        <f>(AI31*(1+'Arnoud VDAB Pensioenopbouw'!$G$19/100))</f>
        <v>0</v>
      </c>
      <c r="AJ32" s="17">
        <f t="shared" si="1"/>
        <v>0</v>
      </c>
      <c r="AK32" s="18">
        <f>'Arnoud VDAB Pensioenopbouw'!$D$19</f>
        <v>26.25</v>
      </c>
      <c r="AL32" s="19">
        <f>AJ32*('Arnoud VDAB Pensioenopbouw'!$D$19/100)</f>
        <v>0</v>
      </c>
      <c r="AM32" s="20">
        <f>1+'Arnoud VDAB Pensioenopbouw'!$Q$19/100</f>
        <v>1.0269999999999999</v>
      </c>
      <c r="AN32" s="21">
        <f>(Blad1!$C$71-AG32)+$J$79</f>
        <v>24</v>
      </c>
      <c r="AO32" s="22">
        <f>AL32*((1+'Arnoud VDAB Pensioenopbouw'!$Q$19/100)^AN32)</f>
        <v>0</v>
      </c>
      <c r="AP32" s="23">
        <f t="shared" si="5"/>
        <v>0</v>
      </c>
      <c r="AR32" s="108">
        <f>$F102*('Arnoud VDAB Pensioenopbouw'!$E$19*((100-(($C102-25)*($V$14)))/100))/100</f>
        <v>428.4738742728818</v>
      </c>
      <c r="AS32" s="106">
        <f t="shared" si="6"/>
        <v>6852.1675879169752</v>
      </c>
      <c r="AT32" s="62">
        <f>AR32*((1+'Arnoud VDAB Pensioenopbouw'!$J$19/100)^($C$136-AG32))</f>
        <v>812.11025153854519</v>
      </c>
      <c r="AU32" s="23">
        <f t="shared" si="7"/>
        <v>16421.231215286643</v>
      </c>
      <c r="AV32" s="39">
        <f>((AO32/'Arnoud VDAB Pensioenopbouw'!$M$15)/AT32)*100</f>
        <v>0</v>
      </c>
    </row>
    <row r="33" spans="3:48" ht="15" thickBot="1" x14ac:dyDescent="0.35">
      <c r="C33" s="16">
        <v>39</v>
      </c>
      <c r="D33" s="17">
        <f>IF(Blad2!E27&lt;&gt;"",(D32*(1+(('Arnoud VDAB Pensioenopbouw'!$C$19)/100)))*(1+Blad2!E27/100),D32*(1+(('Arnoud VDAB Pensioenopbouw'!$C$19)/100)))</f>
        <v>30802</v>
      </c>
      <c r="E33" s="17">
        <f>(E32*(1+'Arnoud VDAB Pensioenopbouw'!$G$19/100))</f>
        <v>14802</v>
      </c>
      <c r="F33" s="17">
        <f t="shared" si="0"/>
        <v>16000</v>
      </c>
      <c r="G33" s="18">
        <f>'Arnoud VDAB Pensioenopbouw'!$D$19</f>
        <v>26.25</v>
      </c>
      <c r="H33" s="19">
        <f>F33*('Arnoud VDAB Pensioenopbouw'!$D$19/100)</f>
        <v>4200</v>
      </c>
      <c r="I33" s="20">
        <f>1+'Arnoud VDAB Pensioenopbouw'!$Q$19/100</f>
        <v>1.0269999999999999</v>
      </c>
      <c r="J33" s="21">
        <f>(Blad1!$C$71-C33)+$J$79</f>
        <v>28</v>
      </c>
      <c r="K33" s="22">
        <f>H33*((1+'Arnoud VDAB Pensioenopbouw'!$Q$19/100)^J33)</f>
        <v>8855.6758442985483</v>
      </c>
      <c r="L33" s="23">
        <f t="shared" si="2"/>
        <v>230825.41506705259</v>
      </c>
      <c r="M33" s="178"/>
      <c r="N33" s="178"/>
      <c r="P33" s="108">
        <f>$F103*('Arnoud VDAB Pensioenopbouw'!$E$19*((100-(($C103-25)*($V$14)))/100))/100</f>
        <v>437.04335175833944</v>
      </c>
      <c r="Q33" s="106">
        <f t="shared" si="3"/>
        <v>7289.2109396753149</v>
      </c>
      <c r="R33" s="62">
        <f>P33*((1+'Arnoud VDAB Pensioenopbouw'!$J$19/100)^($C$136-C33))</f>
        <v>921.5033935899047</v>
      </c>
      <c r="S33" s="23">
        <f t="shared" si="4"/>
        <v>19682.587659644192</v>
      </c>
      <c r="T33" s="39">
        <f>((K33/'Arnoud VDAB Pensioenopbouw'!$M$15)/R33)*100</f>
        <v>62.000197656664945</v>
      </c>
      <c r="X33" s="38">
        <f>Blad2!E28</f>
        <v>0</v>
      </c>
      <c r="AG33" s="16">
        <v>44</v>
      </c>
      <c r="AH33" s="17">
        <f>IF(Blad2!AG27&lt;&gt;"",(AH32*(1+(('Arnoud VDAB Pensioenopbouw'!$C$19)/100)))*(1+Blad2!AG27/100),AH32*(1+(('Arnoud VDAB Pensioenopbouw'!$C$19)/100)))</f>
        <v>0</v>
      </c>
      <c r="AI33" s="17">
        <f>(AI32*(1+'Arnoud VDAB Pensioenopbouw'!$G$19/100))</f>
        <v>0</v>
      </c>
      <c r="AJ33" s="17">
        <f t="shared" si="1"/>
        <v>0</v>
      </c>
      <c r="AK33" s="18">
        <f>'Arnoud VDAB Pensioenopbouw'!$D$19</f>
        <v>26.25</v>
      </c>
      <c r="AL33" s="19">
        <f>AJ33*('Arnoud VDAB Pensioenopbouw'!$D$19/100)</f>
        <v>0</v>
      </c>
      <c r="AM33" s="20">
        <f>1+'Arnoud VDAB Pensioenopbouw'!$Q$19/100</f>
        <v>1.0269999999999999</v>
      </c>
      <c r="AN33" s="21">
        <f>(Blad1!$C$71-AG33)+$J$79</f>
        <v>23</v>
      </c>
      <c r="AO33" s="22">
        <f>AL33*((1+'Arnoud VDAB Pensioenopbouw'!$Q$19/100)^AN33)</f>
        <v>0</v>
      </c>
      <c r="AP33" s="23">
        <f t="shared" si="5"/>
        <v>0</v>
      </c>
      <c r="AR33" s="108">
        <f>$F103*('Arnoud VDAB Pensioenopbouw'!$E$19*((100-(($C103-25)*($V$14)))/100))/100</f>
        <v>437.04335175833944</v>
      </c>
      <c r="AS33" s="106">
        <f t="shared" si="6"/>
        <v>7289.2109396753149</v>
      </c>
      <c r="AT33" s="62">
        <f>AR33*((1+'Arnoud VDAB Pensioenopbouw'!$J$19/100)^($C$136-AG33))</f>
        <v>806.57493336837024</v>
      </c>
      <c r="AU33" s="23">
        <f t="shared" si="7"/>
        <v>17227.806148655014</v>
      </c>
      <c r="AV33" s="39">
        <f>((AO33/'Arnoud VDAB Pensioenopbouw'!$M$15)/AT33)*100</f>
        <v>0</v>
      </c>
    </row>
    <row r="34" spans="3:48" ht="15" thickBot="1" x14ac:dyDescent="0.35">
      <c r="C34" s="43">
        <v>40</v>
      </c>
      <c r="D34" s="44">
        <f>IF(Blad2!E28&lt;&gt;"",(D33*(1+(('Arnoud VDAB Pensioenopbouw'!$C$19)/100)))*(1+Blad2!E28/100),D33*(1+(('Arnoud VDAB Pensioenopbouw'!$C$19)/100)))</f>
        <v>30802</v>
      </c>
      <c r="E34" s="44">
        <f>(E33*(1+'Arnoud VDAB Pensioenopbouw'!$G$19/100))</f>
        <v>14802</v>
      </c>
      <c r="F34" s="44">
        <f t="shared" si="0"/>
        <v>16000</v>
      </c>
      <c r="G34" s="45">
        <f>'Arnoud VDAB Pensioenopbouw'!$D$19</f>
        <v>26.25</v>
      </c>
      <c r="H34" s="46">
        <f>F34*('Arnoud VDAB Pensioenopbouw'!$D$19/100)</f>
        <v>4200</v>
      </c>
      <c r="I34" s="47">
        <f>1+'Arnoud VDAB Pensioenopbouw'!$Q$19/100</f>
        <v>1.0269999999999999</v>
      </c>
      <c r="J34" s="48">
        <f>(Blad1!$C$71-C34)+$J$79</f>
        <v>27</v>
      </c>
      <c r="K34" s="42">
        <f>H34*((1+'Arnoud VDAB Pensioenopbouw'!$Q$19/100)^J34)</f>
        <v>8622.8586604659668</v>
      </c>
      <c r="L34" s="49">
        <f t="shared" si="2"/>
        <v>239448.27372751856</v>
      </c>
      <c r="M34" s="172"/>
      <c r="N34" s="172"/>
      <c r="P34" s="107">
        <f>$F104*('Arnoud VDAB Pensioenopbouw'!$E$19*((100-(($C104-25)*($V$14)))/100))/100</f>
        <v>445.78421879350628</v>
      </c>
      <c r="Q34" s="105">
        <f t="shared" si="3"/>
        <v>7734.9951584688215</v>
      </c>
      <c r="R34" s="52">
        <f>P34*((1+'Arnoud VDAB Pensioenopbouw'!$J$19/100)^($C$136-C34))</f>
        <v>915.22245517205738</v>
      </c>
      <c r="S34" s="49">
        <f t="shared" si="4"/>
        <v>20597.81011481625</v>
      </c>
      <c r="T34" s="51">
        <f>((K34/'Arnoud VDAB Pensioenopbouw'!$M$15)/R34)*100</f>
        <v>60.784507506534247</v>
      </c>
      <c r="X34" s="38">
        <f>Blad2!E29</f>
        <v>0</v>
      </c>
      <c r="AG34" s="43">
        <v>45</v>
      </c>
      <c r="AH34" s="44">
        <f>IF(Blad2!AG28&lt;&gt;"",(AH33*(1+(('Arnoud VDAB Pensioenopbouw'!$C$19)/100)))*(1+Blad2!AG28/100),AH33*(1+(('Arnoud VDAB Pensioenopbouw'!$C$19)/100)))</f>
        <v>0</v>
      </c>
      <c r="AI34" s="44">
        <f>(AI33*(1+'Arnoud VDAB Pensioenopbouw'!$G$19/100))</f>
        <v>0</v>
      </c>
      <c r="AJ34" s="44">
        <f t="shared" si="1"/>
        <v>0</v>
      </c>
      <c r="AK34" s="45">
        <f>'Arnoud VDAB Pensioenopbouw'!$D$19</f>
        <v>26.25</v>
      </c>
      <c r="AL34" s="46">
        <f>AJ34*('Arnoud VDAB Pensioenopbouw'!$D$19/100)</f>
        <v>0</v>
      </c>
      <c r="AM34" s="47">
        <f>1+'Arnoud VDAB Pensioenopbouw'!$Q$19/100</f>
        <v>1.0269999999999999</v>
      </c>
      <c r="AN34" s="48">
        <f>(Blad1!$C$71-AG34)+$J$79</f>
        <v>22</v>
      </c>
      <c r="AO34" s="42">
        <f>AL34*((1+'Arnoud VDAB Pensioenopbouw'!$Q$19/100)^AN34)</f>
        <v>0</v>
      </c>
      <c r="AP34" s="49">
        <f t="shared" si="5"/>
        <v>0</v>
      </c>
      <c r="AR34" s="107">
        <f>$F104*('Arnoud VDAB Pensioenopbouw'!$E$19*((100-(($C104-25)*($V$14)))/100))/100</f>
        <v>445.78421879350628</v>
      </c>
      <c r="AS34" s="105">
        <f t="shared" si="6"/>
        <v>7734.9951584688215</v>
      </c>
      <c r="AT34" s="52">
        <f>AR34*((1+'Arnoud VDAB Pensioenopbouw'!$J$19/100)^($C$136-AG34))</f>
        <v>801.07734375436974</v>
      </c>
      <c r="AU34" s="49">
        <f t="shared" si="7"/>
        <v>18028.883492409383</v>
      </c>
      <c r="AV34" s="51">
        <f>((AO34/'Arnoud VDAB Pensioenopbouw'!$M$15)/AT34)*100</f>
        <v>0</v>
      </c>
    </row>
    <row r="35" spans="3:48" ht="15" thickBot="1" x14ac:dyDescent="0.35">
      <c r="C35" s="16">
        <v>41</v>
      </c>
      <c r="D35" s="17">
        <f>IF(Blad2!E29&lt;&gt;"",(D34*(1+(('Arnoud VDAB Pensioenopbouw'!$C$19)/100)))*(1+Blad2!E29/100),D34*(1+(('Arnoud VDAB Pensioenopbouw'!$C$19)/100)))</f>
        <v>30802</v>
      </c>
      <c r="E35" s="17">
        <f>(E34*(1+'Arnoud VDAB Pensioenopbouw'!$G$19/100))</f>
        <v>14802</v>
      </c>
      <c r="F35" s="17">
        <f t="shared" si="0"/>
        <v>16000</v>
      </c>
      <c r="G35" s="18">
        <f>'Arnoud VDAB Pensioenopbouw'!$D$19</f>
        <v>26.25</v>
      </c>
      <c r="H35" s="19">
        <f>F35*('Arnoud VDAB Pensioenopbouw'!$D$19/100)</f>
        <v>4200</v>
      </c>
      <c r="I35" s="20">
        <f>1+'Arnoud VDAB Pensioenopbouw'!$Q$19/100</f>
        <v>1.0269999999999999</v>
      </c>
      <c r="J35" s="21">
        <f>(Blad1!$C$71-C35)+$J$79</f>
        <v>26</v>
      </c>
      <c r="K35" s="22">
        <f>H35*((1+'Arnoud VDAB Pensioenopbouw'!$Q$19/100)^J35)</f>
        <v>8396.1622789347293</v>
      </c>
      <c r="L35" s="23">
        <f t="shared" si="2"/>
        <v>247844.4360064533</v>
      </c>
      <c r="M35" s="178"/>
      <c r="N35" s="178"/>
      <c r="P35" s="108">
        <f>$F105*('Arnoud VDAB Pensioenopbouw'!$E$19*((100-(($C105-25)*($V$14)))/100))/100</f>
        <v>454.69990316937634</v>
      </c>
      <c r="Q35" s="106">
        <f t="shared" si="3"/>
        <v>8189.6950616381982</v>
      </c>
      <c r="R35" s="62">
        <f>P35*((1+'Arnoud VDAB Pensioenopbouw'!$J$19/100)^($C$136-C35))</f>
        <v>908.98432743475996</v>
      </c>
      <c r="S35" s="23">
        <f t="shared" si="4"/>
        <v>21506.794442251008</v>
      </c>
      <c r="T35" s="39">
        <f>((K35/'Arnoud VDAB Pensioenopbouw'!$M$15)/R35)*100</f>
        <v>59.592654418170831</v>
      </c>
      <c r="X35" s="38">
        <f>Blad2!E30</f>
        <v>0</v>
      </c>
      <c r="AG35" s="16">
        <v>46</v>
      </c>
      <c r="AH35" s="17">
        <f>IF(Blad2!AG29&lt;&gt;"",(AH34*(1+(('Arnoud VDAB Pensioenopbouw'!$C$19)/100)))*(1+Blad2!AG29/100),AH34*(1+(('Arnoud VDAB Pensioenopbouw'!$C$19)/100)))</f>
        <v>0</v>
      </c>
      <c r="AI35" s="17">
        <f>(AI34*(1+'Arnoud VDAB Pensioenopbouw'!$G$19/100))</f>
        <v>0</v>
      </c>
      <c r="AJ35" s="17">
        <f t="shared" si="1"/>
        <v>0</v>
      </c>
      <c r="AK35" s="18">
        <f>'Arnoud VDAB Pensioenopbouw'!$D$19</f>
        <v>26.25</v>
      </c>
      <c r="AL35" s="19">
        <f>AJ35*('Arnoud VDAB Pensioenopbouw'!$D$19/100)</f>
        <v>0</v>
      </c>
      <c r="AM35" s="20">
        <f>1+'Arnoud VDAB Pensioenopbouw'!$Q$19/100</f>
        <v>1.0269999999999999</v>
      </c>
      <c r="AN35" s="21">
        <f>(Blad1!$C$71-AG35)+$J$79</f>
        <v>21</v>
      </c>
      <c r="AO35" s="22">
        <f>AL35*((1+'Arnoud VDAB Pensioenopbouw'!$Q$19/100)^AN35)</f>
        <v>0</v>
      </c>
      <c r="AP35" s="23">
        <f t="shared" si="5"/>
        <v>0</v>
      </c>
      <c r="AR35" s="108">
        <f>$F105*('Arnoud VDAB Pensioenopbouw'!$E$19*((100-(($C105-25)*($V$14)))/100))/100</f>
        <v>454.69990316937634</v>
      </c>
      <c r="AS35" s="106">
        <f t="shared" si="6"/>
        <v>8189.6950616381982</v>
      </c>
      <c r="AT35" s="62">
        <f>AR35*((1+'Arnoud VDAB Pensioenopbouw'!$J$19/100)^($C$136-AG35))</f>
        <v>795.61722553988045</v>
      </c>
      <c r="AU35" s="23">
        <f t="shared" si="7"/>
        <v>18824.500717949264</v>
      </c>
      <c r="AV35" s="39">
        <f>((AO35/'Arnoud VDAB Pensioenopbouw'!$M$15)/AT35)*100</f>
        <v>0</v>
      </c>
    </row>
    <row r="36" spans="3:48" ht="15" thickBot="1" x14ac:dyDescent="0.35">
      <c r="C36" s="16">
        <v>42</v>
      </c>
      <c r="D36" s="17">
        <f>IF(Blad2!E30&lt;&gt;"",(D35*(1+(('Arnoud VDAB Pensioenopbouw'!$C$19)/100)))*(1+Blad2!E30/100),D35*(1+(('Arnoud VDAB Pensioenopbouw'!$C$19)/100)))</f>
        <v>30802</v>
      </c>
      <c r="E36" s="17">
        <f>(E35*(1+'Arnoud VDAB Pensioenopbouw'!$G$19/100))</f>
        <v>14802</v>
      </c>
      <c r="F36" s="17">
        <f t="shared" si="0"/>
        <v>16000</v>
      </c>
      <c r="G36" s="18">
        <f>'Arnoud VDAB Pensioenopbouw'!$D$19</f>
        <v>26.25</v>
      </c>
      <c r="H36" s="19">
        <f>F36*('Arnoud VDAB Pensioenopbouw'!$D$19/100)</f>
        <v>4200</v>
      </c>
      <c r="I36" s="20">
        <f>1+'Arnoud VDAB Pensioenopbouw'!$Q$19/100</f>
        <v>1.0269999999999999</v>
      </c>
      <c r="J36" s="21">
        <f>(Blad1!$C$71-C36)+$J$79</f>
        <v>25</v>
      </c>
      <c r="K36" s="22">
        <f>H36*((1+'Arnoud VDAB Pensioenopbouw'!$Q$19/100)^J36)</f>
        <v>8175.4257827991523</v>
      </c>
      <c r="L36" s="23">
        <f t="shared" si="2"/>
        <v>256019.86178925243</v>
      </c>
      <c r="M36" s="178"/>
      <c r="N36" s="178"/>
      <c r="P36" s="108">
        <f>$F106*('Arnoud VDAB Pensioenopbouw'!$E$19*((100-(($C106-25)*($V$14)))/100))/100</f>
        <v>463.79390123276397</v>
      </c>
      <c r="Q36" s="106">
        <f t="shared" si="3"/>
        <v>8653.4889628709625</v>
      </c>
      <c r="R36" s="62">
        <f>P36*((1+'Arnoud VDAB Pensioenopbouw'!$J$19/100)^($C$136-C36))</f>
        <v>902.78871858174818</v>
      </c>
      <c r="S36" s="23">
        <f t="shared" si="4"/>
        <v>22409.583160832757</v>
      </c>
      <c r="T36" s="39">
        <f>((K36/'Arnoud VDAB Pensioenopbouw'!$M$15)/R36)*100</f>
        <v>58.424170998206691</v>
      </c>
      <c r="X36" s="38">
        <f>Blad2!E31</f>
        <v>0</v>
      </c>
      <c r="AG36" s="16">
        <v>47</v>
      </c>
      <c r="AH36" s="17">
        <f>IF(Blad2!AG30&lt;&gt;"",(AH35*(1+(('Arnoud VDAB Pensioenopbouw'!$C$19)/100)))*(1+Blad2!AG30/100),AH35*(1+(('Arnoud VDAB Pensioenopbouw'!$C$19)/100)))</f>
        <v>0</v>
      </c>
      <c r="AI36" s="17">
        <f>(AI35*(1+'Arnoud VDAB Pensioenopbouw'!$G$19/100))</f>
        <v>0</v>
      </c>
      <c r="AJ36" s="17">
        <f t="shared" si="1"/>
        <v>0</v>
      </c>
      <c r="AK36" s="18">
        <f>'Arnoud VDAB Pensioenopbouw'!$D$19</f>
        <v>26.25</v>
      </c>
      <c r="AL36" s="19">
        <f>AJ36*('Arnoud VDAB Pensioenopbouw'!$D$19/100)</f>
        <v>0</v>
      </c>
      <c r="AM36" s="20">
        <f>1+'Arnoud VDAB Pensioenopbouw'!$Q$19/100</f>
        <v>1.0269999999999999</v>
      </c>
      <c r="AN36" s="21">
        <f>(Blad1!$C$71-AG36)+$J$79</f>
        <v>20</v>
      </c>
      <c r="AO36" s="22">
        <f>AL36*((1+'Arnoud VDAB Pensioenopbouw'!$Q$19/100)^AN36)</f>
        <v>0</v>
      </c>
      <c r="AP36" s="23">
        <f t="shared" si="5"/>
        <v>0</v>
      </c>
      <c r="AR36" s="108">
        <f>$F106*('Arnoud VDAB Pensioenopbouw'!$E$19*((100-(($C106-25)*($V$14)))/100))/100</f>
        <v>463.79390123276397</v>
      </c>
      <c r="AS36" s="106">
        <f t="shared" si="6"/>
        <v>8653.4889628709625</v>
      </c>
      <c r="AT36" s="62">
        <f>AR36*((1+'Arnoud VDAB Pensioenopbouw'!$J$19/100)^($C$136-AG36))</f>
        <v>790.19432332101098</v>
      </c>
      <c r="AU36" s="23">
        <f t="shared" si="7"/>
        <v>19614.695041270275</v>
      </c>
      <c r="AV36" s="39">
        <f>((AO36/'Arnoud VDAB Pensioenopbouw'!$M$15)/AT36)*100</f>
        <v>0</v>
      </c>
    </row>
    <row r="37" spans="3:48" ht="15" thickBot="1" x14ac:dyDescent="0.35">
      <c r="C37" s="16">
        <v>43</v>
      </c>
      <c r="D37" s="17">
        <f>IF(Blad2!E31&lt;&gt;"",(D36*(1+(('Arnoud VDAB Pensioenopbouw'!$C$19)/100)))*(1+Blad2!E31/100),D36*(1+(('Arnoud VDAB Pensioenopbouw'!$C$19)/100)))</f>
        <v>30802</v>
      </c>
      <c r="E37" s="17">
        <f>(E36*(1+'Arnoud VDAB Pensioenopbouw'!$G$19/100))</f>
        <v>14802</v>
      </c>
      <c r="F37" s="17">
        <f t="shared" si="0"/>
        <v>16000</v>
      </c>
      <c r="G37" s="18">
        <f>'Arnoud VDAB Pensioenopbouw'!$D$19</f>
        <v>26.25</v>
      </c>
      <c r="H37" s="19">
        <f>F37*('Arnoud VDAB Pensioenopbouw'!$D$19/100)</f>
        <v>4200</v>
      </c>
      <c r="I37" s="20">
        <f>1+'Arnoud VDAB Pensioenopbouw'!$Q$19/100</f>
        <v>1.0269999999999999</v>
      </c>
      <c r="J37" s="21">
        <f>(Blad1!$C$71-C37)+$J$79</f>
        <v>24</v>
      </c>
      <c r="K37" s="22">
        <f>H37*((1+'Arnoud VDAB Pensioenopbouw'!$Q$19/100)^J37)</f>
        <v>7960.4924856856414</v>
      </c>
      <c r="L37" s="23">
        <f t="shared" si="2"/>
        <v>263980.35427493806</v>
      </c>
      <c r="M37" s="178"/>
      <c r="N37" s="178"/>
      <c r="P37" s="108">
        <f>$F107*('Arnoud VDAB Pensioenopbouw'!$E$19*((100-(($C107-25)*($V$14)))/100))/100</f>
        <v>473.06977925741927</v>
      </c>
      <c r="Q37" s="106">
        <f t="shared" si="3"/>
        <v>9126.5587421283817</v>
      </c>
      <c r="R37" s="62">
        <f>P37*((1+'Arnoud VDAB Pensioenopbouw'!$J$19/100)^($C$136-C37))</f>
        <v>896.63533880563125</v>
      </c>
      <c r="S37" s="23">
        <f t="shared" si="4"/>
        <v>23306.218499638388</v>
      </c>
      <c r="T37" s="39">
        <f>((K37/'Arnoud VDAB Pensioenopbouw'!$M$15)/R37)*100</f>
        <v>57.278599017849693</v>
      </c>
      <c r="X37" s="38">
        <f>Blad2!E32</f>
        <v>0</v>
      </c>
      <c r="AG37" s="16">
        <v>48</v>
      </c>
      <c r="AH37" s="17">
        <f>IF(Blad2!AG31&lt;&gt;"",(AH36*(1+(('Arnoud VDAB Pensioenopbouw'!$C$19)/100)))*(1+Blad2!AG31/100),AH36*(1+(('Arnoud VDAB Pensioenopbouw'!$C$19)/100)))</f>
        <v>0</v>
      </c>
      <c r="AI37" s="17">
        <f>(AI36*(1+'Arnoud VDAB Pensioenopbouw'!$G$19/100))</f>
        <v>0</v>
      </c>
      <c r="AJ37" s="17">
        <f t="shared" si="1"/>
        <v>0</v>
      </c>
      <c r="AK37" s="18">
        <f>'Arnoud VDAB Pensioenopbouw'!$D$19</f>
        <v>26.25</v>
      </c>
      <c r="AL37" s="19">
        <f>AJ37*('Arnoud VDAB Pensioenopbouw'!$D$19/100)</f>
        <v>0</v>
      </c>
      <c r="AM37" s="20">
        <f>1+'Arnoud VDAB Pensioenopbouw'!$Q$19/100</f>
        <v>1.0269999999999999</v>
      </c>
      <c r="AN37" s="21">
        <f>(Blad1!$C$71-AG37)+$J$79</f>
        <v>19</v>
      </c>
      <c r="AO37" s="22">
        <f>AL37*((1+'Arnoud VDAB Pensioenopbouw'!$Q$19/100)^AN37)</f>
        <v>0</v>
      </c>
      <c r="AP37" s="23">
        <f t="shared" si="5"/>
        <v>0</v>
      </c>
      <c r="AR37" s="108">
        <f>$F107*('Arnoud VDAB Pensioenopbouw'!$E$19*((100-(($C107-25)*($V$14)))/100))/100</f>
        <v>473.06977925741927</v>
      </c>
      <c r="AS37" s="106">
        <f t="shared" si="6"/>
        <v>9126.5587421283817</v>
      </c>
      <c r="AT37" s="62">
        <f>AR37*((1+'Arnoud VDAB Pensioenopbouw'!$J$19/100)^($C$136-AG37))</f>
        <v>784.80838343469463</v>
      </c>
      <c r="AU37" s="23">
        <f t="shared" si="7"/>
        <v>20399.50342470497</v>
      </c>
      <c r="AV37" s="39">
        <f>((AO37/'Arnoud VDAB Pensioenopbouw'!$M$15)/AT37)*100</f>
        <v>0</v>
      </c>
    </row>
    <row r="38" spans="3:48" ht="15" thickBot="1" x14ac:dyDescent="0.35">
      <c r="C38" s="16">
        <v>44</v>
      </c>
      <c r="D38" s="17">
        <f>IF(Blad2!E32&lt;&gt;"",(D37*(1+(('Arnoud VDAB Pensioenopbouw'!$C$19)/100)))*(1+Blad2!E32/100),D37*(1+(('Arnoud VDAB Pensioenopbouw'!$C$19)/100)))</f>
        <v>30802</v>
      </c>
      <c r="E38" s="17">
        <f>(E37*(1+'Arnoud VDAB Pensioenopbouw'!$G$19/100))</f>
        <v>14802</v>
      </c>
      <c r="F38" s="17">
        <f t="shared" si="0"/>
        <v>16000</v>
      </c>
      <c r="G38" s="18">
        <f>'Arnoud VDAB Pensioenopbouw'!$D$19</f>
        <v>26.25</v>
      </c>
      <c r="H38" s="19">
        <f>F38*('Arnoud VDAB Pensioenopbouw'!$D$19/100)</f>
        <v>4200</v>
      </c>
      <c r="I38" s="20">
        <f>1+'Arnoud VDAB Pensioenopbouw'!$Q$19/100</f>
        <v>1.0269999999999999</v>
      </c>
      <c r="J38" s="21">
        <f>(Blad1!$C$71-C38)+$J$79</f>
        <v>23</v>
      </c>
      <c r="K38" s="22">
        <f>H38*((1+'Arnoud VDAB Pensioenopbouw'!$Q$19/100)^J38)</f>
        <v>7751.2098205312968</v>
      </c>
      <c r="L38" s="23">
        <f t="shared" si="2"/>
        <v>271731.56409546937</v>
      </c>
      <c r="M38" s="178"/>
      <c r="N38" s="178"/>
      <c r="P38" s="108">
        <f>$F108*('Arnoud VDAB Pensioenopbouw'!$E$19*((100-(($C108-25)*($V$14)))/100))/100</f>
        <v>482.53117484256762</v>
      </c>
      <c r="Q38" s="106">
        <f t="shared" si="3"/>
        <v>9609.0899169709501</v>
      </c>
      <c r="R38" s="62">
        <f>P38*((1+'Arnoud VDAB Pensioenopbouw'!$J$19/100)^($C$136-C38))</f>
        <v>890.52390027433682</v>
      </c>
      <c r="S38" s="23">
        <f t="shared" si="4"/>
        <v>24196.742399912724</v>
      </c>
      <c r="T38" s="39">
        <f>((K38/'Arnoud VDAB Pensioenopbouw'!$M$15)/R38)*100</f>
        <v>56.155489233185975</v>
      </c>
      <c r="X38" s="38">
        <f>Blad2!E33</f>
        <v>0</v>
      </c>
      <c r="AG38" s="16">
        <v>49</v>
      </c>
      <c r="AH38" s="17">
        <f>IF(Blad2!AG32&lt;&gt;"",(AH37*(1+(('Arnoud VDAB Pensioenopbouw'!$C$19)/100)))*(1+Blad2!AG32/100),AH37*(1+(('Arnoud VDAB Pensioenopbouw'!$C$19)/100)))</f>
        <v>0</v>
      </c>
      <c r="AI38" s="17">
        <f>(AI37*(1+'Arnoud VDAB Pensioenopbouw'!$G$19/100))</f>
        <v>0</v>
      </c>
      <c r="AJ38" s="17">
        <f t="shared" si="1"/>
        <v>0</v>
      </c>
      <c r="AK38" s="18">
        <f>'Arnoud VDAB Pensioenopbouw'!$D$19</f>
        <v>26.25</v>
      </c>
      <c r="AL38" s="19">
        <f>AJ38*('Arnoud VDAB Pensioenopbouw'!$D$19/100)</f>
        <v>0</v>
      </c>
      <c r="AM38" s="20">
        <f>1+'Arnoud VDAB Pensioenopbouw'!$Q$19/100</f>
        <v>1.0269999999999999</v>
      </c>
      <c r="AN38" s="21">
        <f>(Blad1!$C$71-AG38)+$J$79</f>
        <v>18</v>
      </c>
      <c r="AO38" s="22">
        <f>AL38*((1+'Arnoud VDAB Pensioenopbouw'!$Q$19/100)^AN38)</f>
        <v>0</v>
      </c>
      <c r="AP38" s="23">
        <f t="shared" si="5"/>
        <v>0</v>
      </c>
      <c r="AR38" s="108">
        <f>$F108*('Arnoud VDAB Pensioenopbouw'!$E$19*((100-(($C108-25)*($V$14)))/100))/100</f>
        <v>482.53117484256762</v>
      </c>
      <c r="AS38" s="106">
        <f t="shared" si="6"/>
        <v>9609.0899169709501</v>
      </c>
      <c r="AT38" s="62">
        <f>AR38*((1+'Arnoud VDAB Pensioenopbouw'!$J$19/100)^($C$136-AG38))</f>
        <v>779.45915394682424</v>
      </c>
      <c r="AU38" s="23">
        <f t="shared" si="7"/>
        <v>21178.962578651794</v>
      </c>
      <c r="AV38" s="39">
        <f>((AO38/'Arnoud VDAB Pensioenopbouw'!$M$15)/AT38)*100</f>
        <v>0</v>
      </c>
    </row>
    <row r="39" spans="3:48" ht="15" thickBot="1" x14ac:dyDescent="0.35">
      <c r="C39" s="16">
        <v>45</v>
      </c>
      <c r="D39" s="17">
        <f>IF(Blad2!E33&lt;&gt;"",(D38*(1+(('Arnoud VDAB Pensioenopbouw'!$C$19)/100)))*(1+Blad2!E33/100),D38*(1+(('Arnoud VDAB Pensioenopbouw'!$C$19)/100)))</f>
        <v>30802</v>
      </c>
      <c r="E39" s="17">
        <f>(E38*(1+'Arnoud VDAB Pensioenopbouw'!$G$19/100))</f>
        <v>14802</v>
      </c>
      <c r="F39" s="17">
        <f t="shared" si="0"/>
        <v>16000</v>
      </c>
      <c r="G39" s="18">
        <f>'Arnoud VDAB Pensioenopbouw'!$D$19</f>
        <v>26.25</v>
      </c>
      <c r="H39" s="19">
        <f>F39*('Arnoud VDAB Pensioenopbouw'!$D$19/100)</f>
        <v>4200</v>
      </c>
      <c r="I39" s="20">
        <f>1+'Arnoud VDAB Pensioenopbouw'!$Q$19/100</f>
        <v>1.0269999999999999</v>
      </c>
      <c r="J39" s="21">
        <f>(Blad1!$C$71-C39)+$J$79</f>
        <v>22</v>
      </c>
      <c r="K39" s="22">
        <f>H39*((1+'Arnoud VDAB Pensioenopbouw'!$Q$19/100)^J39)</f>
        <v>7547.4292312865609</v>
      </c>
      <c r="L39" s="23">
        <f t="shared" si="2"/>
        <v>279278.99332675594</v>
      </c>
      <c r="M39" s="178"/>
      <c r="N39" s="178"/>
      <c r="P39" s="108">
        <f>$F109*('Arnoud VDAB Pensioenopbouw'!$E$19*((100-(($C109-25)*($V$14)))/100))/100</f>
        <v>492.18179833941889</v>
      </c>
      <c r="Q39" s="106">
        <f t="shared" si="3"/>
        <v>10101.271715310369</v>
      </c>
      <c r="R39" s="62">
        <f>P39*((1+'Arnoud VDAB Pensioenopbouw'!$J$19/100)^($C$136-C39))</f>
        <v>884.454117117647</v>
      </c>
      <c r="S39" s="23">
        <f t="shared" si="4"/>
        <v>25081.19651703037</v>
      </c>
      <c r="T39" s="39">
        <f>((K39/'Arnoud VDAB Pensioenopbouw'!$M$15)/R39)*100</f>
        <v>55.054401209005874</v>
      </c>
      <c r="X39" s="38">
        <f>Blad2!E34</f>
        <v>0</v>
      </c>
      <c r="AG39" s="16">
        <v>50</v>
      </c>
      <c r="AH39" s="17">
        <f>IF(Blad2!AG33&lt;&gt;"",(AH38*(1+(('Arnoud VDAB Pensioenopbouw'!$C$19)/100)))*(1+Blad2!AG33/100),AH38*(1+(('Arnoud VDAB Pensioenopbouw'!$C$19)/100)))</f>
        <v>0</v>
      </c>
      <c r="AI39" s="17">
        <f>(AI38*(1+'Arnoud VDAB Pensioenopbouw'!$G$19/100))</f>
        <v>0</v>
      </c>
      <c r="AJ39" s="17">
        <f t="shared" si="1"/>
        <v>0</v>
      </c>
      <c r="AK39" s="18">
        <f>'Arnoud VDAB Pensioenopbouw'!$D$19</f>
        <v>26.25</v>
      </c>
      <c r="AL39" s="19">
        <f>AJ39*('Arnoud VDAB Pensioenopbouw'!$D$19/100)</f>
        <v>0</v>
      </c>
      <c r="AM39" s="20">
        <f>1+'Arnoud VDAB Pensioenopbouw'!$Q$19/100</f>
        <v>1.0269999999999999</v>
      </c>
      <c r="AN39" s="21">
        <f>(Blad1!$C$71-AG39)+$J$79</f>
        <v>17</v>
      </c>
      <c r="AO39" s="22">
        <f>AL39*((1+'Arnoud VDAB Pensioenopbouw'!$Q$19/100)^AN39)</f>
        <v>0</v>
      </c>
      <c r="AP39" s="23">
        <f t="shared" si="5"/>
        <v>0</v>
      </c>
      <c r="AR39" s="108">
        <f>$F109*('Arnoud VDAB Pensioenopbouw'!$E$19*((100-(($C109-25)*($V$14)))/100))/100</f>
        <v>492.18179833941889</v>
      </c>
      <c r="AS39" s="106">
        <f t="shared" si="6"/>
        <v>10101.271715310369</v>
      </c>
      <c r="AT39" s="62">
        <f>AR39*((1+'Arnoud VDAB Pensioenopbouw'!$J$19/100)^($C$136-AG39))</f>
        <v>774.146384640468</v>
      </c>
      <c r="AU39" s="23">
        <f t="shared" si="7"/>
        <v>21953.108963292263</v>
      </c>
      <c r="AV39" s="39">
        <f>((AO39/'Arnoud VDAB Pensioenopbouw'!$M$15)/AT39)*100</f>
        <v>0</v>
      </c>
    </row>
    <row r="40" spans="3:48" ht="15" thickBot="1" x14ac:dyDescent="0.35">
      <c r="C40" s="16">
        <v>46</v>
      </c>
      <c r="D40" s="17">
        <f>IF(Blad2!E34&lt;&gt;"",(D39*(1+(('Arnoud VDAB Pensioenopbouw'!$C$19)/100)))*(1+Blad2!E34/100),D39*(1+(('Arnoud VDAB Pensioenopbouw'!$C$19)/100)))</f>
        <v>30802</v>
      </c>
      <c r="E40" s="17">
        <f>(E39*(1+'Arnoud VDAB Pensioenopbouw'!$G$19/100))</f>
        <v>14802</v>
      </c>
      <c r="F40" s="17">
        <f t="shared" si="0"/>
        <v>16000</v>
      </c>
      <c r="G40" s="18">
        <f>'Arnoud VDAB Pensioenopbouw'!$D$19</f>
        <v>26.25</v>
      </c>
      <c r="H40" s="19">
        <f>F40*('Arnoud VDAB Pensioenopbouw'!$D$19/100)</f>
        <v>4200</v>
      </c>
      <c r="I40" s="20">
        <f>1+'Arnoud VDAB Pensioenopbouw'!$Q$19/100</f>
        <v>1.0269999999999999</v>
      </c>
      <c r="J40" s="21">
        <f>(Blad1!$C$71-C40)+$J$79</f>
        <v>21</v>
      </c>
      <c r="K40" s="22">
        <f>H40*((1+'Arnoud VDAB Pensioenopbouw'!$Q$19/100)^J40)</f>
        <v>7349.0060674650067</v>
      </c>
      <c r="L40" s="23">
        <f t="shared" si="2"/>
        <v>286627.99939422094</v>
      </c>
      <c r="M40" s="178"/>
      <c r="N40" s="178"/>
      <c r="P40" s="108">
        <f>$F110*('Arnoud VDAB Pensioenopbouw'!$E$19*((100-(($C110-25)*($V$14)))/100))/100</f>
        <v>502.02543430620733</v>
      </c>
      <c r="Q40" s="106">
        <f t="shared" si="3"/>
        <v>10603.297149616577</v>
      </c>
      <c r="R40" s="62">
        <f>P40*((1+'Arnoud VDAB Pensioenopbouw'!$J$19/100)^($C$136-C40))</f>
        <v>878.4257054138269</v>
      </c>
      <c r="S40" s="23">
        <f t="shared" si="4"/>
        <v>25959.622222444195</v>
      </c>
      <c r="T40" s="39">
        <f>((K40/'Arnoud VDAB Pensioenopbouw'!$M$15)/R40)*100</f>
        <v>53.974903146084173</v>
      </c>
      <c r="X40" s="38">
        <f>Blad2!E35</f>
        <v>0</v>
      </c>
      <c r="AG40" s="16">
        <v>51</v>
      </c>
      <c r="AH40" s="17">
        <f>IF(Blad2!AG34&lt;&gt;"",(AH39*(1+(('Arnoud VDAB Pensioenopbouw'!$C$19)/100)))*(1+Blad2!AG34/100),AH39*(1+(('Arnoud VDAB Pensioenopbouw'!$C$19)/100)))</f>
        <v>0</v>
      </c>
      <c r="AI40" s="17">
        <f>(AI39*(1+'Arnoud VDAB Pensioenopbouw'!$G$19/100))</f>
        <v>0</v>
      </c>
      <c r="AJ40" s="17">
        <f t="shared" si="1"/>
        <v>0</v>
      </c>
      <c r="AK40" s="18">
        <f>'Arnoud VDAB Pensioenopbouw'!$D$19</f>
        <v>26.25</v>
      </c>
      <c r="AL40" s="19">
        <f>AJ40*('Arnoud VDAB Pensioenopbouw'!$D$19/100)</f>
        <v>0</v>
      </c>
      <c r="AM40" s="20">
        <f>1+'Arnoud VDAB Pensioenopbouw'!$Q$19/100</f>
        <v>1.0269999999999999</v>
      </c>
      <c r="AN40" s="21">
        <f>(Blad1!$C$71-AG40)+$J$79</f>
        <v>16</v>
      </c>
      <c r="AO40" s="22">
        <f>AL40*((1+'Arnoud VDAB Pensioenopbouw'!$Q$19/100)^AN40)</f>
        <v>0</v>
      </c>
      <c r="AP40" s="23">
        <f t="shared" si="5"/>
        <v>0</v>
      </c>
      <c r="AR40" s="108">
        <f>$F110*('Arnoud VDAB Pensioenopbouw'!$E$19*((100-(($C110-25)*($V$14)))/100))/100</f>
        <v>502.02543430620733</v>
      </c>
      <c r="AS40" s="106">
        <f t="shared" si="6"/>
        <v>10603.297149616577</v>
      </c>
      <c r="AT40" s="62">
        <f>AR40*((1+'Arnoud VDAB Pensioenopbouw'!$J$19/100)^($C$136-AG40))</f>
        <v>768.86982700416502</v>
      </c>
      <c r="AU40" s="23">
        <f t="shared" si="7"/>
        <v>22721.978790296427</v>
      </c>
      <c r="AV40" s="39">
        <f>((AO40/'Arnoud VDAB Pensioenopbouw'!$M$15)/AT40)*100</f>
        <v>0</v>
      </c>
    </row>
    <row r="41" spans="3:48" ht="15" thickBot="1" x14ac:dyDescent="0.35">
      <c r="C41" s="16">
        <v>47</v>
      </c>
      <c r="D41" s="17">
        <f>IF(Blad2!E35&lt;&gt;"",(D40*(1+(('Arnoud VDAB Pensioenopbouw'!$C$19)/100)))*(1+Blad2!E35/100),D40*(1+(('Arnoud VDAB Pensioenopbouw'!$C$19)/100)))</f>
        <v>30802</v>
      </c>
      <c r="E41" s="17">
        <f>(E40*(1+'Arnoud VDAB Pensioenopbouw'!$G$19/100))</f>
        <v>14802</v>
      </c>
      <c r="F41" s="17">
        <f t="shared" si="0"/>
        <v>16000</v>
      </c>
      <c r="G41" s="18">
        <f>'Arnoud VDAB Pensioenopbouw'!$D$19</f>
        <v>26.25</v>
      </c>
      <c r="H41" s="19">
        <f>F41*('Arnoud VDAB Pensioenopbouw'!$D$19/100)</f>
        <v>4200</v>
      </c>
      <c r="I41" s="20">
        <f>1+'Arnoud VDAB Pensioenopbouw'!$Q$19/100</f>
        <v>1.0269999999999999</v>
      </c>
      <c r="J41" s="21">
        <f>(Blad1!$C$71-C41)+$J$79</f>
        <v>20</v>
      </c>
      <c r="K41" s="22">
        <f>H41*((1+'Arnoud VDAB Pensioenopbouw'!$Q$19/100)^J41)</f>
        <v>7155.7994814654403</v>
      </c>
      <c r="L41" s="23">
        <f t="shared" si="2"/>
        <v>293783.79887568636</v>
      </c>
      <c r="M41" s="178"/>
      <c r="N41" s="178"/>
      <c r="P41" s="108">
        <f>$F111*('Arnoud VDAB Pensioenopbouw'!$E$19*((100-(($C111-25)*($V$14)))/100))/100</f>
        <v>512.06594299233143</v>
      </c>
      <c r="Q41" s="106">
        <f t="shared" si="3"/>
        <v>11115.363092608908</v>
      </c>
      <c r="R41" s="62">
        <f>P41*((1+'Arnoud VDAB Pensioenopbouw'!$J$19/100)^($C$136-C41))</f>
        <v>872.43838317634209</v>
      </c>
      <c r="S41" s="23">
        <f t="shared" si="4"/>
        <v>26832.060605620536</v>
      </c>
      <c r="T41" s="39">
        <f>((K41/'Arnoud VDAB Pensioenopbouw'!$M$15)/R41)*100</f>
        <v>52.91657171184724</v>
      </c>
      <c r="X41" s="38">
        <f>Blad2!E36</f>
        <v>0</v>
      </c>
      <c r="AG41" s="16">
        <v>52</v>
      </c>
      <c r="AH41" s="17">
        <f>IF(Blad2!AG35&lt;&gt;"",(AH40*(1+(('Arnoud VDAB Pensioenopbouw'!$C$19)/100)))*(1+Blad2!AG35/100),AH40*(1+(('Arnoud VDAB Pensioenopbouw'!$C$19)/100)))</f>
        <v>0</v>
      </c>
      <c r="AI41" s="17">
        <f>(AI40*(1+'Arnoud VDAB Pensioenopbouw'!$G$19/100))</f>
        <v>0</v>
      </c>
      <c r="AJ41" s="17">
        <f t="shared" si="1"/>
        <v>0</v>
      </c>
      <c r="AK41" s="18">
        <f>'Arnoud VDAB Pensioenopbouw'!$D$19</f>
        <v>26.25</v>
      </c>
      <c r="AL41" s="19">
        <f>AJ41*('Arnoud VDAB Pensioenopbouw'!$D$19/100)</f>
        <v>0</v>
      </c>
      <c r="AM41" s="20">
        <f>1+'Arnoud VDAB Pensioenopbouw'!$Q$19/100</f>
        <v>1.0269999999999999</v>
      </c>
      <c r="AN41" s="21">
        <f>(Blad1!$C$71-AG41)+$J$79</f>
        <v>15</v>
      </c>
      <c r="AO41" s="22">
        <f>AL41*((1+'Arnoud VDAB Pensioenopbouw'!$Q$19/100)^AN41)</f>
        <v>0</v>
      </c>
      <c r="AP41" s="23">
        <f t="shared" si="5"/>
        <v>0</v>
      </c>
      <c r="AR41" s="108">
        <f>$F111*('Arnoud VDAB Pensioenopbouw'!$E$19*((100-(($C111-25)*($V$14)))/100))/100</f>
        <v>512.06594299233143</v>
      </c>
      <c r="AS41" s="106">
        <f t="shared" si="6"/>
        <v>11115.363092608908</v>
      </c>
      <c r="AT41" s="62">
        <f>AR41*((1+'Arnoud VDAB Pensioenopbouw'!$J$19/100)^($C$136-AG41))</f>
        <v>763.6292342203003</v>
      </c>
      <c r="AU41" s="23">
        <f t="shared" si="7"/>
        <v>23485.608024516729</v>
      </c>
      <c r="AV41" s="39">
        <f>((AO41/'Arnoud VDAB Pensioenopbouw'!$M$15)/AT41)*100</f>
        <v>0</v>
      </c>
    </row>
    <row r="42" spans="3:48" ht="15" thickBot="1" x14ac:dyDescent="0.35">
      <c r="C42" s="16">
        <v>48</v>
      </c>
      <c r="D42" s="17">
        <f>IF(Blad2!E36&lt;&gt;"",(D41*(1+(('Arnoud VDAB Pensioenopbouw'!$C$19)/100)))*(1+Blad2!E36/100),D41*(1+(('Arnoud VDAB Pensioenopbouw'!$C$19)/100)))</f>
        <v>30802</v>
      </c>
      <c r="E42" s="17">
        <f>(E41*(1+'Arnoud VDAB Pensioenopbouw'!$G$19/100))</f>
        <v>14802</v>
      </c>
      <c r="F42" s="17">
        <f t="shared" si="0"/>
        <v>16000</v>
      </c>
      <c r="G42" s="18">
        <f>'Arnoud VDAB Pensioenopbouw'!$D$19</f>
        <v>26.25</v>
      </c>
      <c r="H42" s="19">
        <f>F42*('Arnoud VDAB Pensioenopbouw'!$D$19/100)</f>
        <v>4200</v>
      </c>
      <c r="I42" s="20">
        <f>1+'Arnoud VDAB Pensioenopbouw'!$Q$19/100</f>
        <v>1.0269999999999999</v>
      </c>
      <c r="J42" s="21">
        <f>(Blad1!$C$71-C42)+$J$79</f>
        <v>19</v>
      </c>
      <c r="K42" s="22">
        <f>H42*((1+'Arnoud VDAB Pensioenopbouw'!$Q$19/100)^J42)</f>
        <v>6967.6723285934195</v>
      </c>
      <c r="L42" s="23">
        <f t="shared" si="2"/>
        <v>300751.47120427981</v>
      </c>
      <c r="M42" s="178"/>
      <c r="N42" s="178"/>
      <c r="P42" s="108">
        <f>$F112*('Arnoud VDAB Pensioenopbouw'!$E$19*((100-(($C112-25)*($V$14)))/100))/100</f>
        <v>522.30726185217816</v>
      </c>
      <c r="Q42" s="106">
        <f t="shared" si="3"/>
        <v>11637.670354461086</v>
      </c>
      <c r="R42" s="62">
        <f>P42*((1+'Arnoud VDAB Pensioenopbouw'!$J$19/100)^($C$136-C42))</f>
        <v>866.4918703406712</v>
      </c>
      <c r="S42" s="23">
        <f t="shared" si="4"/>
        <v>27698.552475961209</v>
      </c>
      <c r="T42" s="39">
        <f>((K42/'Arnoud VDAB Pensioenopbouw'!$M$15)/R42)*100</f>
        <v>51.878991874360025</v>
      </c>
      <c r="X42" s="38">
        <f>Blad2!E37</f>
        <v>0</v>
      </c>
      <c r="AG42" s="16">
        <v>53</v>
      </c>
      <c r="AH42" s="17">
        <f>IF(Blad2!AG36&lt;&gt;"",(AH41*(1+(('Arnoud VDAB Pensioenopbouw'!$C$19)/100)))*(1+Blad2!AG36/100),AH41*(1+(('Arnoud VDAB Pensioenopbouw'!$C$19)/100)))</f>
        <v>0</v>
      </c>
      <c r="AI42" s="17">
        <f>(AI41*(1+'Arnoud VDAB Pensioenopbouw'!$G$19/100))</f>
        <v>0</v>
      </c>
      <c r="AJ42" s="17">
        <f t="shared" si="1"/>
        <v>0</v>
      </c>
      <c r="AK42" s="18">
        <f>'Arnoud VDAB Pensioenopbouw'!$D$19</f>
        <v>26.25</v>
      </c>
      <c r="AL42" s="19">
        <f>AJ42*('Arnoud VDAB Pensioenopbouw'!$D$19/100)</f>
        <v>0</v>
      </c>
      <c r="AM42" s="20">
        <f>1+'Arnoud VDAB Pensioenopbouw'!$Q$19/100</f>
        <v>1.0269999999999999</v>
      </c>
      <c r="AN42" s="21">
        <f>(Blad1!$C$71-AG42)+$J$79</f>
        <v>14</v>
      </c>
      <c r="AO42" s="22">
        <f>AL42*((1+'Arnoud VDAB Pensioenopbouw'!$Q$19/100)^AN42)</f>
        <v>0</v>
      </c>
      <c r="AP42" s="23">
        <f t="shared" si="5"/>
        <v>0</v>
      </c>
      <c r="AR42" s="108">
        <f>$F112*('Arnoud VDAB Pensioenopbouw'!$E$19*((100-(($C112-25)*($V$14)))/100))/100</f>
        <v>522.30726185217816</v>
      </c>
      <c r="AS42" s="106">
        <f t="shared" si="6"/>
        <v>11637.670354461086</v>
      </c>
      <c r="AT42" s="62">
        <f>AR42*((1+'Arnoud VDAB Pensioenopbouw'!$J$19/100)^($C$136-AG42))</f>
        <v>758.42436115356043</v>
      </c>
      <c r="AU42" s="23">
        <f t="shared" si="7"/>
        <v>24244.032385670289</v>
      </c>
      <c r="AV42" s="39">
        <f>((AO42/'Arnoud VDAB Pensioenopbouw'!$M$15)/AT42)*100</f>
        <v>0</v>
      </c>
    </row>
    <row r="43" spans="3:48" ht="15" thickBot="1" x14ac:dyDescent="0.35">
      <c r="C43" s="16">
        <v>49</v>
      </c>
      <c r="D43" s="17">
        <f>IF(Blad2!E37&lt;&gt;"",(D42*(1+(('Arnoud VDAB Pensioenopbouw'!$C$19)/100)))*(1+Blad2!E37/100),D42*(1+(('Arnoud VDAB Pensioenopbouw'!$C$19)/100)))</f>
        <v>30802</v>
      </c>
      <c r="E43" s="17">
        <f>(E42*(1+'Arnoud VDAB Pensioenopbouw'!$G$19/100))</f>
        <v>14802</v>
      </c>
      <c r="F43" s="17">
        <f t="shared" si="0"/>
        <v>16000</v>
      </c>
      <c r="G43" s="18">
        <f>'Arnoud VDAB Pensioenopbouw'!$D$19</f>
        <v>26.25</v>
      </c>
      <c r="H43" s="19">
        <f>F43*('Arnoud VDAB Pensioenopbouw'!$D$19/100)</f>
        <v>4200</v>
      </c>
      <c r="I43" s="20">
        <f>1+'Arnoud VDAB Pensioenopbouw'!$Q$19/100</f>
        <v>1.0269999999999999</v>
      </c>
      <c r="J43" s="21">
        <f>(Blad1!$C$71-C43)+$J$79</f>
        <v>18</v>
      </c>
      <c r="K43" s="22">
        <f>H43*((1+'Arnoud VDAB Pensioenopbouw'!$Q$19/100)^J43)</f>
        <v>6784.4910697112164</v>
      </c>
      <c r="L43" s="23">
        <f t="shared" si="2"/>
        <v>307535.96227399103</v>
      </c>
      <c r="M43" s="178"/>
      <c r="N43" s="178"/>
      <c r="P43" s="108">
        <f>$F113*('Arnoud VDAB Pensioenopbouw'!$E$19*((100-(($C113-25)*($V$14)))/100))/100</f>
        <v>532.75340708922181</v>
      </c>
      <c r="Q43" s="106">
        <f t="shared" si="3"/>
        <v>12170.423761550308</v>
      </c>
      <c r="R43" s="62">
        <f>P43*((1+'Arnoud VDAB Pensioenopbouw'!$J$19/100)^($C$136-C43))</f>
        <v>860.58588875120233</v>
      </c>
      <c r="S43" s="23">
        <f t="shared" si="4"/>
        <v>28559.138364712413</v>
      </c>
      <c r="T43" s="39">
        <f>((K43/'Arnoud VDAB Pensioenopbouw'!$M$15)/R43)*100</f>
        <v>50.861756739568641</v>
      </c>
      <c r="X43" s="38">
        <f>Blad2!E38</f>
        <v>0</v>
      </c>
      <c r="AG43" s="16">
        <v>54</v>
      </c>
      <c r="AH43" s="17">
        <f>IF(Blad2!AG37&lt;&gt;"",(AH42*(1+(('Arnoud VDAB Pensioenopbouw'!$C$19)/100)))*(1+Blad2!AG37/100),AH42*(1+(('Arnoud VDAB Pensioenopbouw'!$C$19)/100)))</f>
        <v>0</v>
      </c>
      <c r="AI43" s="17">
        <f>(AI42*(1+'Arnoud VDAB Pensioenopbouw'!$G$19/100))</f>
        <v>0</v>
      </c>
      <c r="AJ43" s="17">
        <f t="shared" si="1"/>
        <v>0</v>
      </c>
      <c r="AK43" s="18">
        <f>'Arnoud VDAB Pensioenopbouw'!$D$19</f>
        <v>26.25</v>
      </c>
      <c r="AL43" s="19">
        <f>AJ43*('Arnoud VDAB Pensioenopbouw'!$D$19/100)</f>
        <v>0</v>
      </c>
      <c r="AM43" s="20">
        <f>1+'Arnoud VDAB Pensioenopbouw'!$Q$19/100</f>
        <v>1.0269999999999999</v>
      </c>
      <c r="AN43" s="21">
        <f>(Blad1!$C$71-AG43)+$J$79</f>
        <v>13</v>
      </c>
      <c r="AO43" s="22">
        <f>AL43*((1+'Arnoud VDAB Pensioenopbouw'!$Q$19/100)^AN43)</f>
        <v>0</v>
      </c>
      <c r="AP43" s="23">
        <f t="shared" si="5"/>
        <v>0</v>
      </c>
      <c r="AR43" s="108">
        <f>$F113*('Arnoud VDAB Pensioenopbouw'!$E$19*((100-(($C113-25)*($V$14)))/100))/100</f>
        <v>532.75340708922181</v>
      </c>
      <c r="AS43" s="106">
        <f t="shared" si="6"/>
        <v>12170.423761550308</v>
      </c>
      <c r="AT43" s="62">
        <f>AR43*((1+'Arnoud VDAB Pensioenopbouw'!$J$19/100)^($C$136-AG43))</f>
        <v>753.25496433946614</v>
      </c>
      <c r="AU43" s="23">
        <f t="shared" si="7"/>
        <v>24997.287350009756</v>
      </c>
      <c r="AV43" s="39">
        <f>((AO43/'Arnoud VDAB Pensioenopbouw'!$M$15)/AT43)*100</f>
        <v>0</v>
      </c>
    </row>
    <row r="44" spans="3:48" ht="15" thickBot="1" x14ac:dyDescent="0.35">
      <c r="C44" s="43">
        <v>50</v>
      </c>
      <c r="D44" s="44">
        <f>IF(Blad2!E38&lt;&gt;"",(D43*(1+(('Arnoud VDAB Pensioenopbouw'!$C$19)/100)))*(1+Blad2!E38/100),D43*(1+(('Arnoud VDAB Pensioenopbouw'!$C$19)/100)))</f>
        <v>30802</v>
      </c>
      <c r="E44" s="44">
        <f>(E43*(1+'Arnoud VDAB Pensioenopbouw'!$G$19/100))</f>
        <v>14802</v>
      </c>
      <c r="F44" s="44">
        <f t="shared" si="0"/>
        <v>16000</v>
      </c>
      <c r="G44" s="45">
        <f>'Arnoud VDAB Pensioenopbouw'!$D$19</f>
        <v>26.25</v>
      </c>
      <c r="H44" s="46">
        <f>F44*('Arnoud VDAB Pensioenopbouw'!$D$19/100)</f>
        <v>4200</v>
      </c>
      <c r="I44" s="47">
        <f>1+'Arnoud VDAB Pensioenopbouw'!$Q$19/100</f>
        <v>1.0269999999999999</v>
      </c>
      <c r="J44" s="48">
        <f>(Blad1!$C$71-C44)+$J$79</f>
        <v>17</v>
      </c>
      <c r="K44" s="42">
        <f>H44*((1+'Arnoud VDAB Pensioenopbouw'!$Q$19/100)^J44)</f>
        <v>6606.1256764471436</v>
      </c>
      <c r="L44" s="49">
        <f t="shared" si="2"/>
        <v>314142.08795043814</v>
      </c>
      <c r="M44" s="172"/>
      <c r="N44" s="172"/>
      <c r="P44" s="107">
        <f>$F114*('Arnoud VDAB Pensioenopbouw'!$E$19*((100-(($C114-25)*($V$14)))/100))/100</f>
        <v>543.40847523100626</v>
      </c>
      <c r="Q44" s="105">
        <f t="shared" si="3"/>
        <v>12713.832236781314</v>
      </c>
      <c r="R44" s="52">
        <f>P44*((1+'Arnoud VDAB Pensioenopbouw'!$J$19/100)^($C$136-C44))</f>
        <v>854.7201621482244</v>
      </c>
      <c r="S44" s="49">
        <f t="shared" si="4"/>
        <v>29413.858526860637</v>
      </c>
      <c r="T44" s="51">
        <f>((K44/'Arnoud VDAB Pensioenopbouw'!$M$15)/R44)*100</f>
        <v>49.86446739173396</v>
      </c>
      <c r="X44" s="38">
        <f>Blad2!E39</f>
        <v>0</v>
      </c>
      <c r="AG44" s="43">
        <v>55</v>
      </c>
      <c r="AH44" s="44">
        <f>IF(Blad2!AG38&lt;&gt;"",(AH43*(1+(('Arnoud VDAB Pensioenopbouw'!$C$19)/100)))*(1+Blad2!AG38/100),AH43*(1+(('Arnoud VDAB Pensioenopbouw'!$C$19)/100)))</f>
        <v>0</v>
      </c>
      <c r="AI44" s="44">
        <f>(AI43*(1+'Arnoud VDAB Pensioenopbouw'!$G$19/100))</f>
        <v>0</v>
      </c>
      <c r="AJ44" s="44">
        <f t="shared" si="1"/>
        <v>0</v>
      </c>
      <c r="AK44" s="45">
        <f>'Arnoud VDAB Pensioenopbouw'!$D$19</f>
        <v>26.25</v>
      </c>
      <c r="AL44" s="46">
        <f>AJ44*('Arnoud VDAB Pensioenopbouw'!$D$19/100)</f>
        <v>0</v>
      </c>
      <c r="AM44" s="47">
        <f>1+'Arnoud VDAB Pensioenopbouw'!$Q$19/100</f>
        <v>1.0269999999999999</v>
      </c>
      <c r="AN44" s="48">
        <f>(Blad1!$C$71-AG44)+$J$79</f>
        <v>12</v>
      </c>
      <c r="AO44" s="42">
        <f>AL44*((1+'Arnoud VDAB Pensioenopbouw'!$Q$19/100)^AN44)</f>
        <v>0</v>
      </c>
      <c r="AP44" s="49">
        <f t="shared" si="5"/>
        <v>0</v>
      </c>
      <c r="AR44" s="107">
        <f>$F114*('Arnoud VDAB Pensioenopbouw'!$E$19*((100-(($C114-25)*($V$14)))/100))/100</f>
        <v>543.40847523100626</v>
      </c>
      <c r="AS44" s="105">
        <f t="shared" si="6"/>
        <v>12713.832236781314</v>
      </c>
      <c r="AT44" s="52">
        <f>AR44*((1+'Arnoud VDAB Pensioenopbouw'!$J$19/100)^($C$136-AG44))</f>
        <v>748.12080197298508</v>
      </c>
      <c r="AU44" s="49">
        <f t="shared" si="7"/>
        <v>25745.408151982741</v>
      </c>
      <c r="AV44" s="51">
        <f>((AO44/'Arnoud VDAB Pensioenopbouw'!$M$15)/AT44)*100</f>
        <v>0</v>
      </c>
    </row>
    <row r="45" spans="3:48" ht="15" thickBot="1" x14ac:dyDescent="0.35">
      <c r="C45" s="16">
        <v>51</v>
      </c>
      <c r="D45" s="17">
        <f>IF(Blad2!E39&lt;&gt;"",(D44*(1+(('Arnoud VDAB Pensioenopbouw'!$C$19)/100)))*(1+Blad2!E39/100),D44*(1+(('Arnoud VDAB Pensioenopbouw'!$C$19)/100)))</f>
        <v>30802</v>
      </c>
      <c r="E45" s="17">
        <f>(E44*(1+'Arnoud VDAB Pensioenopbouw'!$G$19/100))</f>
        <v>14802</v>
      </c>
      <c r="F45" s="17">
        <f t="shared" si="0"/>
        <v>16000</v>
      </c>
      <c r="G45" s="18">
        <f>'Arnoud VDAB Pensioenopbouw'!$D$19</f>
        <v>26.25</v>
      </c>
      <c r="H45" s="19">
        <f>F45*('Arnoud VDAB Pensioenopbouw'!$D$19/100)</f>
        <v>4200</v>
      </c>
      <c r="I45" s="20">
        <f>1+'Arnoud VDAB Pensioenopbouw'!$Q$19/100</f>
        <v>1.0269999999999999</v>
      </c>
      <c r="J45" s="21">
        <f>(Blad1!$C$71-C45)+$J$79</f>
        <v>16</v>
      </c>
      <c r="K45" s="22">
        <f>H45*((1+'Arnoud VDAB Pensioenopbouw'!$Q$19/100)^J45)</f>
        <v>6432.4495388969281</v>
      </c>
      <c r="L45" s="23">
        <f t="shared" si="2"/>
        <v>320574.53748933505</v>
      </c>
      <c r="M45" s="178"/>
      <c r="N45" s="178"/>
      <c r="P45" s="108">
        <f>$F115*('Arnoud VDAB Pensioenopbouw'!$E$19*((100-(($C115-25)*($V$14)))/100))/100</f>
        <v>554.27664473562641</v>
      </c>
      <c r="Q45" s="106">
        <f t="shared" si="3"/>
        <v>13268.108881516941</v>
      </c>
      <c r="R45" s="62">
        <f>P45*((1+'Arnoud VDAB Pensioenopbouw'!$J$19/100)^($C$136-C45))</f>
        <v>848.89441615500391</v>
      </c>
      <c r="S45" s="23">
        <f t="shared" si="4"/>
        <v>30262.752943015639</v>
      </c>
      <c r="T45" s="39">
        <f>((K45/'Arnoud VDAB Pensioenopbouw'!$M$15)/R45)*100</f>
        <v>48.886732736994091</v>
      </c>
      <c r="X45" s="38">
        <f>Blad2!E40</f>
        <v>0</v>
      </c>
      <c r="AG45" s="16">
        <v>56</v>
      </c>
      <c r="AH45" s="17">
        <f>IF(Blad2!AG39&lt;&gt;"",(AH44*(1+(('Arnoud VDAB Pensioenopbouw'!$C$19)/100)))*(1+Blad2!AG39/100),AH44*(1+(('Arnoud VDAB Pensioenopbouw'!$C$19)/100)))</f>
        <v>0</v>
      </c>
      <c r="AI45" s="17">
        <f>(AI44*(1+'Arnoud VDAB Pensioenopbouw'!$G$19/100))</f>
        <v>0</v>
      </c>
      <c r="AJ45" s="17">
        <f t="shared" si="1"/>
        <v>0</v>
      </c>
      <c r="AK45" s="18">
        <f>'Arnoud VDAB Pensioenopbouw'!$D$19</f>
        <v>26.25</v>
      </c>
      <c r="AL45" s="19">
        <f>AJ45*('Arnoud VDAB Pensioenopbouw'!$D$19/100)</f>
        <v>0</v>
      </c>
      <c r="AM45" s="20">
        <f>1+'Arnoud VDAB Pensioenopbouw'!$Q$19/100</f>
        <v>1.0269999999999999</v>
      </c>
      <c r="AN45" s="21">
        <f>(Blad1!$C$71-AG45)+$J$79</f>
        <v>11</v>
      </c>
      <c r="AO45" s="22">
        <f>AL45*((1+'Arnoud VDAB Pensioenopbouw'!$Q$19/100)^AN45)</f>
        <v>0</v>
      </c>
      <c r="AP45" s="23">
        <f t="shared" si="5"/>
        <v>0</v>
      </c>
      <c r="AR45" s="108">
        <f>$F115*('Arnoud VDAB Pensioenopbouw'!$E$19*((100-(($C115-25)*($V$14)))/100))/100</f>
        <v>554.27664473562641</v>
      </c>
      <c r="AS45" s="106">
        <f t="shared" si="6"/>
        <v>13268.108881516941</v>
      </c>
      <c r="AT45" s="62">
        <f>AR45*((1+'Arnoud VDAB Pensioenopbouw'!$J$19/100)^($C$136-AG45))</f>
        <v>743.02163389721989</v>
      </c>
      <c r="AU45" s="23">
        <f t="shared" si="7"/>
        <v>26488.429785879962</v>
      </c>
      <c r="AV45" s="39">
        <f>((AO45/'Arnoud VDAB Pensioenopbouw'!$M$15)/AT45)*100</f>
        <v>0</v>
      </c>
    </row>
    <row r="46" spans="3:48" ht="15" thickBot="1" x14ac:dyDescent="0.35">
      <c r="C46" s="16">
        <v>52</v>
      </c>
      <c r="D46" s="17">
        <f>IF(Blad2!E40&lt;&gt;"",(D45*(1+(('Arnoud VDAB Pensioenopbouw'!$C$19)/100)))*(1+Blad2!E40/100),D45*(1+(('Arnoud VDAB Pensioenopbouw'!$C$19)/100)))</f>
        <v>30802</v>
      </c>
      <c r="E46" s="17">
        <f>(E45*(1+'Arnoud VDAB Pensioenopbouw'!$G$19/100))</f>
        <v>14802</v>
      </c>
      <c r="F46" s="17">
        <f t="shared" ref="F46:F65" si="8">D46-E46</f>
        <v>16000</v>
      </c>
      <c r="G46" s="18">
        <f>'Arnoud VDAB Pensioenopbouw'!$D$19</f>
        <v>26.25</v>
      </c>
      <c r="H46" s="19">
        <f>F46*('Arnoud VDAB Pensioenopbouw'!$D$19/100)</f>
        <v>4200</v>
      </c>
      <c r="I46" s="20">
        <f>1+'Arnoud VDAB Pensioenopbouw'!$Q$19/100</f>
        <v>1.0269999999999999</v>
      </c>
      <c r="J46" s="21">
        <f>(Blad1!$C$71-C46)+$J$79</f>
        <v>15</v>
      </c>
      <c r="K46" s="22">
        <f>H46*((1+'Arnoud VDAB Pensioenopbouw'!$Q$19/100)^J46)</f>
        <v>6263.3393757516351</v>
      </c>
      <c r="L46" s="23">
        <f t="shared" si="2"/>
        <v>326837.87686508667</v>
      </c>
      <c r="M46" s="178"/>
      <c r="N46" s="178"/>
      <c r="P46" s="108">
        <f>$F116*('Arnoud VDAB Pensioenopbouw'!$E$19*((100-(($C116-25)*($V$14)))/100))/100</f>
        <v>565.36217763033903</v>
      </c>
      <c r="Q46" s="106">
        <f t="shared" si="3"/>
        <v>13833.471059147279</v>
      </c>
      <c r="R46" s="62">
        <f>P46*((1+'Arnoud VDAB Pensioenopbouw'!$J$19/100)^($C$136-C46))</f>
        <v>843.1083782649506</v>
      </c>
      <c r="S46" s="23">
        <f t="shared" si="4"/>
        <v>31105.86132128059</v>
      </c>
      <c r="T46" s="39">
        <f>((K46/'Arnoud VDAB Pensioenopbouw'!$M$15)/R46)*100</f>
        <v>47.928169349994192</v>
      </c>
      <c r="X46" s="38">
        <f>Blad2!E41</f>
        <v>0</v>
      </c>
      <c r="AG46" s="16">
        <v>57</v>
      </c>
      <c r="AH46" s="17">
        <f>IF(Blad2!AG40&lt;&gt;"",(AH45*(1+(('Arnoud VDAB Pensioenopbouw'!$C$19)/100)))*(1+Blad2!AG40/100),AH45*(1+(('Arnoud VDAB Pensioenopbouw'!$C$19)/100)))</f>
        <v>0</v>
      </c>
      <c r="AI46" s="17">
        <f>(AI45*(1+'Arnoud VDAB Pensioenopbouw'!$G$19/100))</f>
        <v>0</v>
      </c>
      <c r="AJ46" s="17">
        <f t="shared" si="1"/>
        <v>0</v>
      </c>
      <c r="AK46" s="18">
        <f>'Arnoud VDAB Pensioenopbouw'!$D$19</f>
        <v>26.25</v>
      </c>
      <c r="AL46" s="19">
        <f>AJ46*('Arnoud VDAB Pensioenopbouw'!$D$19/100)</f>
        <v>0</v>
      </c>
      <c r="AM46" s="20">
        <f>1+'Arnoud VDAB Pensioenopbouw'!$Q$19/100</f>
        <v>1.0269999999999999</v>
      </c>
      <c r="AN46" s="21">
        <f>(Blad1!$C$71-AG46)+$J$79</f>
        <v>10</v>
      </c>
      <c r="AO46" s="22">
        <f>AL46*((1+'Arnoud VDAB Pensioenopbouw'!$Q$19/100)^AN46)</f>
        <v>0</v>
      </c>
      <c r="AP46" s="23">
        <f t="shared" si="5"/>
        <v>0</v>
      </c>
      <c r="AR46" s="108">
        <f>$F116*('Arnoud VDAB Pensioenopbouw'!$E$19*((100-(($C116-25)*($V$14)))/100))/100</f>
        <v>565.36217763033903</v>
      </c>
      <c r="AS46" s="106">
        <f t="shared" si="6"/>
        <v>13833.471059147279</v>
      </c>
      <c r="AT46" s="62">
        <f>AR46*((1+'Arnoud VDAB Pensioenopbouw'!$J$19/100)^($C$136-AG46))</f>
        <v>737.95722159217576</v>
      </c>
      <c r="AU46" s="23">
        <f t="shared" si="7"/>
        <v>27226.387007472138</v>
      </c>
      <c r="AV46" s="39">
        <f>((AO46/'Arnoud VDAB Pensioenopbouw'!$M$15)/AT46)*100</f>
        <v>0</v>
      </c>
    </row>
    <row r="47" spans="3:48" ht="15" thickBot="1" x14ac:dyDescent="0.35">
      <c r="C47" s="16">
        <v>53</v>
      </c>
      <c r="D47" s="17">
        <f>IF(Blad2!E41&lt;&gt;"",(D46*(1+(('Arnoud VDAB Pensioenopbouw'!$C$19)/100)))*(1+Blad2!E41/100),D46*(1+(('Arnoud VDAB Pensioenopbouw'!$C$19)/100)))</f>
        <v>30802</v>
      </c>
      <c r="E47" s="17">
        <f>(E46*(1+'Arnoud VDAB Pensioenopbouw'!$G$19/100))</f>
        <v>14802</v>
      </c>
      <c r="F47" s="17">
        <f t="shared" si="8"/>
        <v>16000</v>
      </c>
      <c r="G47" s="18">
        <f>'Arnoud VDAB Pensioenopbouw'!$D$19</f>
        <v>26.25</v>
      </c>
      <c r="H47" s="19">
        <f>F47*('Arnoud VDAB Pensioenopbouw'!$D$19/100)</f>
        <v>4200</v>
      </c>
      <c r="I47" s="20">
        <f>1+'Arnoud VDAB Pensioenopbouw'!$Q$19/100</f>
        <v>1.0269999999999999</v>
      </c>
      <c r="J47" s="21">
        <f>(Blad1!$C$71-C47)+$J$79</f>
        <v>14</v>
      </c>
      <c r="K47" s="22">
        <f>H47*((1+'Arnoud VDAB Pensioenopbouw'!$Q$19/100)^J47)</f>
        <v>6098.6751467883496</v>
      </c>
      <c r="L47" s="23">
        <f t="shared" ref="L47:L65" si="9">L46+K47</f>
        <v>332936.55201187503</v>
      </c>
      <c r="M47" s="178"/>
      <c r="N47" s="178"/>
      <c r="P47" s="108">
        <f>$F117*('Arnoud VDAB Pensioenopbouw'!$E$19*((100-(($C117-25)*($V$14)))/100))/100</f>
        <v>576.66942118294583</v>
      </c>
      <c r="Q47" s="106">
        <f t="shared" ref="Q47:Q65" si="10">P47+Q46</f>
        <v>14410.140480330225</v>
      </c>
      <c r="R47" s="62">
        <f>P47*((1+'Arnoud VDAB Pensioenopbouw'!$J$19/100)^($C$136-C47))</f>
        <v>837.36177782887023</v>
      </c>
      <c r="S47" s="23">
        <f t="shared" ref="S47:S65" si="11">S46+R47</f>
        <v>31943.223099109462</v>
      </c>
      <c r="T47" s="39">
        <f>((K47/'Arnoud VDAB Pensioenopbouw'!$M$15)/R47)*100</f>
        <v>46.988401323523718</v>
      </c>
      <c r="X47" s="38">
        <f>Blad2!E42</f>
        <v>0</v>
      </c>
      <c r="AG47" s="16">
        <v>58</v>
      </c>
      <c r="AH47" s="17">
        <f>IF(Blad2!AG41&lt;&gt;"",(AH46*(1+(('Arnoud VDAB Pensioenopbouw'!$C$19)/100)))*(1+Blad2!AG41/100),AH46*(1+(('Arnoud VDAB Pensioenopbouw'!$C$19)/100)))</f>
        <v>0</v>
      </c>
      <c r="AI47" s="17">
        <f>(AI46*(1+'Arnoud VDAB Pensioenopbouw'!$G$19/100))</f>
        <v>0</v>
      </c>
      <c r="AJ47" s="17">
        <f t="shared" si="1"/>
        <v>0</v>
      </c>
      <c r="AK47" s="18">
        <f>'Arnoud VDAB Pensioenopbouw'!$D$19</f>
        <v>26.25</v>
      </c>
      <c r="AL47" s="19">
        <f>AJ47*('Arnoud VDAB Pensioenopbouw'!$D$19/100)</f>
        <v>0</v>
      </c>
      <c r="AM47" s="20">
        <f>1+'Arnoud VDAB Pensioenopbouw'!$Q$19/100</f>
        <v>1.0269999999999999</v>
      </c>
      <c r="AN47" s="21">
        <f>(Blad1!$C$71-AG47)+$J$79</f>
        <v>9</v>
      </c>
      <c r="AO47" s="22">
        <f>AL47*((1+'Arnoud VDAB Pensioenopbouw'!$Q$19/100)^AN47)</f>
        <v>0</v>
      </c>
      <c r="AP47" s="23">
        <f t="shared" si="5"/>
        <v>0</v>
      </c>
      <c r="AR47" s="108">
        <f>$F117*('Arnoud VDAB Pensioenopbouw'!$E$19*((100-(($C117-25)*($V$14)))/100))/100</f>
        <v>576.66942118294583</v>
      </c>
      <c r="AS47" s="106">
        <f t="shared" si="6"/>
        <v>14410.140480330225</v>
      </c>
      <c r="AT47" s="62">
        <f>AR47*((1+'Arnoud VDAB Pensioenopbouw'!$J$19/100)^($C$136-AG47))</f>
        <v>732.92732816360206</v>
      </c>
      <c r="AU47" s="23">
        <f t="shared" si="7"/>
        <v>27959.31433563574</v>
      </c>
      <c r="AV47" s="39">
        <f>((AO47/'Arnoud VDAB Pensioenopbouw'!$M$15)/AT47)*100</f>
        <v>0</v>
      </c>
    </row>
    <row r="48" spans="3:48" ht="15" thickBot="1" x14ac:dyDescent="0.35">
      <c r="C48" s="16">
        <v>54</v>
      </c>
      <c r="D48" s="17">
        <f>IF(Blad2!E42&lt;&gt;"",(D47*(1+(('Arnoud VDAB Pensioenopbouw'!$C$19)/100)))*(1+Blad2!E42/100),D47*(1+(('Arnoud VDAB Pensioenopbouw'!$C$19)/100)))</f>
        <v>30802</v>
      </c>
      <c r="E48" s="17">
        <f>(E47*(1+'Arnoud VDAB Pensioenopbouw'!$G$19/100))</f>
        <v>14802</v>
      </c>
      <c r="F48" s="17">
        <f t="shared" si="8"/>
        <v>16000</v>
      </c>
      <c r="G48" s="18">
        <f>'Arnoud VDAB Pensioenopbouw'!$D$19</f>
        <v>26.25</v>
      </c>
      <c r="H48" s="19">
        <f>F48*('Arnoud VDAB Pensioenopbouw'!$D$19/100)</f>
        <v>4200</v>
      </c>
      <c r="I48" s="20">
        <f>1+'Arnoud VDAB Pensioenopbouw'!$Q$19/100</f>
        <v>1.0269999999999999</v>
      </c>
      <c r="J48" s="21">
        <f>(Blad1!$C$71-C48)+$J$79</f>
        <v>13</v>
      </c>
      <c r="K48" s="22">
        <f>H48*((1+'Arnoud VDAB Pensioenopbouw'!$Q$19/100)^J48)</f>
        <v>5938.3399676614899</v>
      </c>
      <c r="L48" s="23">
        <f t="shared" si="9"/>
        <v>338874.89197953651</v>
      </c>
      <c r="M48" s="178"/>
      <c r="N48" s="178"/>
      <c r="P48" s="108">
        <f>$F118*('Arnoud VDAB Pensioenopbouw'!$E$19*((100-(($C118-25)*($V$14)))/100))/100</f>
        <v>588.20280960660466</v>
      </c>
      <c r="Q48" s="106">
        <f t="shared" si="10"/>
        <v>14998.343289936829</v>
      </c>
      <c r="R48" s="62">
        <f>P48*((1+'Arnoud VDAB Pensioenopbouw'!$J$19/100)^($C$136-C48))</f>
        <v>831.65434604230529</v>
      </c>
      <c r="S48" s="23">
        <f t="shared" si="11"/>
        <v>32774.877445151767</v>
      </c>
      <c r="T48" s="39">
        <f>((K48/'Arnoud VDAB Pensioenopbouw'!$M$15)/R48)*100</f>
        <v>46.06706012110169</v>
      </c>
      <c r="X48" s="38">
        <f>Blad2!E43</f>
        <v>0</v>
      </c>
      <c r="AG48" s="16">
        <v>59</v>
      </c>
      <c r="AH48" s="17">
        <f>IF(Blad2!AG42&lt;&gt;"",(AH47*(1+(('Arnoud VDAB Pensioenopbouw'!$C$19)/100)))*(1+Blad2!AG42/100),AH47*(1+(('Arnoud VDAB Pensioenopbouw'!$C$19)/100)))</f>
        <v>0</v>
      </c>
      <c r="AI48" s="17">
        <f>(AI47*(1+'Arnoud VDAB Pensioenopbouw'!$G$19/100))</f>
        <v>0</v>
      </c>
      <c r="AJ48" s="17">
        <f t="shared" si="1"/>
        <v>0</v>
      </c>
      <c r="AK48" s="18">
        <f>'Arnoud VDAB Pensioenopbouw'!$D$19</f>
        <v>26.25</v>
      </c>
      <c r="AL48" s="19">
        <f>AJ48*('Arnoud VDAB Pensioenopbouw'!$D$19/100)</f>
        <v>0</v>
      </c>
      <c r="AM48" s="20">
        <f>1+'Arnoud VDAB Pensioenopbouw'!$Q$19/100</f>
        <v>1.0269999999999999</v>
      </c>
      <c r="AN48" s="21">
        <f>(Blad1!$C$71-AG48)+$J$79</f>
        <v>8</v>
      </c>
      <c r="AO48" s="22">
        <f>AL48*((1+'Arnoud VDAB Pensioenopbouw'!$Q$19/100)^AN48)</f>
        <v>0</v>
      </c>
      <c r="AP48" s="23">
        <f t="shared" si="5"/>
        <v>0</v>
      </c>
      <c r="AR48" s="108">
        <f>$F118*('Arnoud VDAB Pensioenopbouw'!$E$19*((100-(($C118-25)*($V$14)))/100))/100</f>
        <v>588.20280960660466</v>
      </c>
      <c r="AS48" s="106">
        <f t="shared" si="6"/>
        <v>14998.343289936829</v>
      </c>
      <c r="AT48" s="62">
        <f>AR48*((1+'Arnoud VDAB Pensioenopbouw'!$J$19/100)^($C$136-AG48))</f>
        <v>727.93171833191241</v>
      </c>
      <c r="AU48" s="23">
        <f t="shared" si="7"/>
        <v>28687.24605396765</v>
      </c>
      <c r="AV48" s="39">
        <f>((AO48/'Arnoud VDAB Pensioenopbouw'!$M$15)/AT48)*100</f>
        <v>0</v>
      </c>
    </row>
    <row r="49" spans="3:48" ht="15" thickBot="1" x14ac:dyDescent="0.35">
      <c r="C49" s="16">
        <v>55</v>
      </c>
      <c r="D49" s="17">
        <f>IF(Blad2!E43&lt;&gt;"",(D48*(1+(('Arnoud VDAB Pensioenopbouw'!$C$19)/100)))*(1+Blad2!E43/100),D48*(1+(('Arnoud VDAB Pensioenopbouw'!$C$19)/100)))</f>
        <v>30802</v>
      </c>
      <c r="E49" s="17">
        <f>(E48*(1+'Arnoud VDAB Pensioenopbouw'!$G$19/100))</f>
        <v>14802</v>
      </c>
      <c r="F49" s="17">
        <f t="shared" si="8"/>
        <v>16000</v>
      </c>
      <c r="G49" s="18">
        <f>'Arnoud VDAB Pensioenopbouw'!$D$19</f>
        <v>26.25</v>
      </c>
      <c r="H49" s="19">
        <f>F49*('Arnoud VDAB Pensioenopbouw'!$D$19/100)</f>
        <v>4200</v>
      </c>
      <c r="I49" s="20">
        <f>1+'Arnoud VDAB Pensioenopbouw'!$Q$19/100</f>
        <v>1.0269999999999999</v>
      </c>
      <c r="J49" s="21">
        <f>(Blad1!$C$71-C49)+$J$79</f>
        <v>12</v>
      </c>
      <c r="K49" s="22">
        <f>H49*((1+'Arnoud VDAB Pensioenopbouw'!$Q$19/100)^J49)</f>
        <v>5782.2200269342657</v>
      </c>
      <c r="L49" s="23">
        <f t="shared" si="9"/>
        <v>344657.11200647079</v>
      </c>
      <c r="M49" s="178"/>
      <c r="N49" s="178"/>
      <c r="P49" s="108">
        <f>$F119*('Arnoud VDAB Pensioenopbouw'!$E$19*((100-(($C119-25)*($V$14)))/100))/100</f>
        <v>599.96686579873676</v>
      </c>
      <c r="Q49" s="106">
        <f t="shared" si="10"/>
        <v>15598.310155735566</v>
      </c>
      <c r="R49" s="62">
        <f>P49*((1+'Arnoud VDAB Pensioenopbouw'!$J$19/100)^($C$136-C49))</f>
        <v>825.9858159329616</v>
      </c>
      <c r="S49" s="23">
        <f t="shared" si="11"/>
        <v>33600.863261084727</v>
      </c>
      <c r="T49" s="39">
        <f>((K49/'Arnoud VDAB Pensioenopbouw'!$M$15)/R49)*100</f>
        <v>45.163784432452637</v>
      </c>
      <c r="X49" s="38">
        <f>Blad2!E44</f>
        <v>0</v>
      </c>
      <c r="AG49" s="16">
        <v>60</v>
      </c>
      <c r="AH49" s="17">
        <f>IF(Blad2!AG43&lt;&gt;"",(AH48*(1+(('Arnoud VDAB Pensioenopbouw'!$C$19)/100)))*(1+Blad2!AG43/100),AH48*(1+(('Arnoud VDAB Pensioenopbouw'!$C$19)/100)))</f>
        <v>0</v>
      </c>
      <c r="AI49" s="17">
        <f>(AI48*(1+'Arnoud VDAB Pensioenopbouw'!$G$19/100))</f>
        <v>0</v>
      </c>
      <c r="AJ49" s="17">
        <f t="shared" si="1"/>
        <v>0</v>
      </c>
      <c r="AK49" s="18">
        <f>'Arnoud VDAB Pensioenopbouw'!$D$19</f>
        <v>26.25</v>
      </c>
      <c r="AL49" s="19">
        <f>AJ49*('Arnoud VDAB Pensioenopbouw'!$D$19/100)</f>
        <v>0</v>
      </c>
      <c r="AM49" s="20">
        <f>1+'Arnoud VDAB Pensioenopbouw'!$Q$19/100</f>
        <v>1.0269999999999999</v>
      </c>
      <c r="AN49" s="21">
        <f>(Blad1!$C$71-AG49)+$J$79</f>
        <v>7</v>
      </c>
      <c r="AO49" s="22">
        <f>AL49*((1+'Arnoud VDAB Pensioenopbouw'!$Q$19/100)^AN49)</f>
        <v>0</v>
      </c>
      <c r="AP49" s="23">
        <f t="shared" si="5"/>
        <v>0</v>
      </c>
      <c r="AR49" s="108">
        <f>$F119*('Arnoud VDAB Pensioenopbouw'!$E$19*((100-(($C119-25)*($V$14)))/100))/100</f>
        <v>599.96686579873676</v>
      </c>
      <c r="AS49" s="106">
        <f t="shared" si="6"/>
        <v>15598.310155735566</v>
      </c>
      <c r="AT49" s="62">
        <f>AR49*((1+'Arnoud VDAB Pensioenopbouw'!$J$19/100)^($C$136-AG49))</f>
        <v>722.97015842117901</v>
      </c>
      <c r="AU49" s="23">
        <f t="shared" si="7"/>
        <v>29410.21621238883</v>
      </c>
      <c r="AV49" s="39">
        <f>((AO49/'Arnoud VDAB Pensioenopbouw'!$M$15)/AT49)*100</f>
        <v>0</v>
      </c>
    </row>
    <row r="50" spans="3:48" ht="15" thickBot="1" x14ac:dyDescent="0.35">
      <c r="C50" s="16">
        <v>56</v>
      </c>
      <c r="D50" s="17">
        <f>IF(Blad2!E44&lt;&gt;"",(D49*(1+(('Arnoud VDAB Pensioenopbouw'!$C$19)/100)))*(1+Blad2!E44/100),D49*(1+(('Arnoud VDAB Pensioenopbouw'!$C$19)/100)))</f>
        <v>30802</v>
      </c>
      <c r="E50" s="17">
        <f>(E49*(1+'Arnoud VDAB Pensioenopbouw'!$G$19/100))</f>
        <v>14802</v>
      </c>
      <c r="F50" s="17">
        <f t="shared" si="8"/>
        <v>16000</v>
      </c>
      <c r="G50" s="18">
        <f>'Arnoud VDAB Pensioenopbouw'!$D$19</f>
        <v>26.25</v>
      </c>
      <c r="H50" s="19">
        <f>F50*('Arnoud VDAB Pensioenopbouw'!$D$19/100)</f>
        <v>4200</v>
      </c>
      <c r="I50" s="20">
        <f>1+'Arnoud VDAB Pensioenopbouw'!$Q$19/100</f>
        <v>1.0269999999999999</v>
      </c>
      <c r="J50" s="21">
        <f>(Blad1!$C$71-C50)+$J$79</f>
        <v>11</v>
      </c>
      <c r="K50" s="22">
        <f>H50*((1+'Arnoud VDAB Pensioenopbouw'!$Q$19/100)^J50)</f>
        <v>5630.2045052913982</v>
      </c>
      <c r="L50" s="23">
        <f t="shared" si="9"/>
        <v>350287.31651176221</v>
      </c>
      <c r="M50" s="178"/>
      <c r="N50" s="178"/>
      <c r="P50" s="108">
        <f>$F120*('Arnoud VDAB Pensioenopbouw'!$E$19*((100-(($C120-25)*($V$14)))/100))/100</f>
        <v>611.96620311471145</v>
      </c>
      <c r="Q50" s="106">
        <f t="shared" si="10"/>
        <v>16210.276358850277</v>
      </c>
      <c r="R50" s="62">
        <f>P50*((1+'Arnoud VDAB Pensioenopbouw'!$J$19/100)^($C$136-C50))</f>
        <v>820.35592234821888</v>
      </c>
      <c r="S50" s="23">
        <f t="shared" si="11"/>
        <v>34421.219183432942</v>
      </c>
      <c r="T50" s="39">
        <f>((K50/'Arnoud VDAB Pensioenopbouw'!$M$15)/R50)*100</f>
        <v>44.278220031816311</v>
      </c>
      <c r="X50" s="38">
        <f>Blad2!E45</f>
        <v>0</v>
      </c>
      <c r="AG50" s="16">
        <v>61</v>
      </c>
      <c r="AH50" s="17">
        <f>IF(Blad2!AG44&lt;&gt;"",(AH49*(1+(('Arnoud VDAB Pensioenopbouw'!$C$19)/100)))*(1+Blad2!AG44/100),AH49*(1+(('Arnoud VDAB Pensioenopbouw'!$C$19)/100)))</f>
        <v>0</v>
      </c>
      <c r="AI50" s="17">
        <f>(AI49*(1+'Arnoud VDAB Pensioenopbouw'!$G$19/100))</f>
        <v>0</v>
      </c>
      <c r="AJ50" s="17">
        <f t="shared" si="1"/>
        <v>0</v>
      </c>
      <c r="AK50" s="18">
        <f>'Arnoud VDAB Pensioenopbouw'!$D$19</f>
        <v>26.25</v>
      </c>
      <c r="AL50" s="19">
        <f>AJ50*('Arnoud VDAB Pensioenopbouw'!$D$19/100)</f>
        <v>0</v>
      </c>
      <c r="AM50" s="20">
        <f>1+'Arnoud VDAB Pensioenopbouw'!$Q$19/100</f>
        <v>1.0269999999999999</v>
      </c>
      <c r="AN50" s="21">
        <f>(Blad1!$C$71-AG50)+$J$79</f>
        <v>6</v>
      </c>
      <c r="AO50" s="22">
        <f>AL50*((1+'Arnoud VDAB Pensioenopbouw'!$Q$19/100)^AN50)</f>
        <v>0</v>
      </c>
      <c r="AP50" s="23">
        <f t="shared" si="5"/>
        <v>0</v>
      </c>
      <c r="AR50" s="108">
        <f>$F120*('Arnoud VDAB Pensioenopbouw'!$E$19*((100-(($C120-25)*($V$14)))/100))/100</f>
        <v>611.96620311471145</v>
      </c>
      <c r="AS50" s="106">
        <f t="shared" si="6"/>
        <v>16210.276358850277</v>
      </c>
      <c r="AT50" s="62">
        <f>AR50*((1+'Arnoud VDAB Pensioenopbouw'!$J$19/100)^($C$136-AG50))</f>
        <v>718.04241634820107</v>
      </c>
      <c r="AU50" s="23">
        <f t="shared" si="7"/>
        <v>30128.258628737032</v>
      </c>
      <c r="AV50" s="39">
        <f>((AO50/'Arnoud VDAB Pensioenopbouw'!$M$15)/AT50)*100</f>
        <v>0</v>
      </c>
    </row>
    <row r="51" spans="3:48" ht="15" thickBot="1" x14ac:dyDescent="0.35">
      <c r="C51" s="16">
        <v>57</v>
      </c>
      <c r="D51" s="17">
        <f>IF(Blad2!E45&lt;&gt;"",(D50*(1+(('Arnoud VDAB Pensioenopbouw'!$C$19)/100)))*(1+Blad2!E45/100),D50*(1+(('Arnoud VDAB Pensioenopbouw'!$C$19)/100)))</f>
        <v>30802</v>
      </c>
      <c r="E51" s="17">
        <f>(E50*(1+'Arnoud VDAB Pensioenopbouw'!$G$19/100))</f>
        <v>14802</v>
      </c>
      <c r="F51" s="17">
        <f t="shared" si="8"/>
        <v>16000</v>
      </c>
      <c r="G51" s="18">
        <f>'Arnoud VDAB Pensioenopbouw'!$D$19</f>
        <v>26.25</v>
      </c>
      <c r="H51" s="19">
        <f>F51*('Arnoud VDAB Pensioenopbouw'!$D$19/100)</f>
        <v>4200</v>
      </c>
      <c r="I51" s="20">
        <f>1+'Arnoud VDAB Pensioenopbouw'!$Q$19/100</f>
        <v>1.0269999999999999</v>
      </c>
      <c r="J51" s="21">
        <f>(Blad1!$C$71-C51)+$J$79</f>
        <v>10</v>
      </c>
      <c r="K51" s="22">
        <f>H51*((1+'Arnoud VDAB Pensioenopbouw'!$Q$19/100)^J51)</f>
        <v>5482.1854968757534</v>
      </c>
      <c r="L51" s="23">
        <f t="shared" si="9"/>
        <v>355769.50200863794</v>
      </c>
      <c r="M51" s="178"/>
      <c r="N51" s="178"/>
      <c r="P51" s="108">
        <f>$F121*('Arnoud VDAB Pensioenopbouw'!$E$19*((100-(($C121-25)*($V$14)))/100))/100</f>
        <v>624.20552717700571</v>
      </c>
      <c r="Q51" s="106">
        <f t="shared" si="10"/>
        <v>16834.481886027283</v>
      </c>
      <c r="R51" s="62">
        <f>P51*((1+'Arnoud VDAB Pensioenopbouw'!$J$19/100)^($C$136-C51))</f>
        <v>814.76440194272971</v>
      </c>
      <c r="S51" s="23">
        <f t="shared" si="11"/>
        <v>35235.983585375674</v>
      </c>
      <c r="T51" s="39">
        <f>((K51/'Arnoud VDAB Pensioenopbouw'!$M$15)/R51)*100</f>
        <v>43.410019639035596</v>
      </c>
      <c r="X51" s="38">
        <f>Blad2!E46</f>
        <v>0</v>
      </c>
      <c r="AG51" s="16">
        <v>62</v>
      </c>
      <c r="AH51" s="17">
        <f>IF(Blad2!AG45&lt;&gt;"",(AH50*(1+(('Arnoud VDAB Pensioenopbouw'!$C$19)/100)))*(1+Blad2!AG45/100),AH50*(1+(('Arnoud VDAB Pensioenopbouw'!$C$19)/100)))</f>
        <v>0</v>
      </c>
      <c r="AI51" s="17">
        <f>(AI50*(1+'Arnoud VDAB Pensioenopbouw'!$G$19/100))</f>
        <v>0</v>
      </c>
      <c r="AJ51" s="17">
        <f t="shared" si="1"/>
        <v>0</v>
      </c>
      <c r="AK51" s="18">
        <f>'Arnoud VDAB Pensioenopbouw'!$D$19</f>
        <v>26.25</v>
      </c>
      <c r="AL51" s="19">
        <f>AJ51*('Arnoud VDAB Pensioenopbouw'!$D$19/100)</f>
        <v>0</v>
      </c>
      <c r="AM51" s="20">
        <f>1+'Arnoud VDAB Pensioenopbouw'!$Q$19/100</f>
        <v>1.0269999999999999</v>
      </c>
      <c r="AN51" s="21">
        <f>(Blad1!$C$71-AG51)+$J$79</f>
        <v>5</v>
      </c>
      <c r="AO51" s="22">
        <f>AL51*((1+'Arnoud VDAB Pensioenopbouw'!$Q$19/100)^AN51)</f>
        <v>0</v>
      </c>
      <c r="AP51" s="23">
        <f t="shared" si="5"/>
        <v>0</v>
      </c>
      <c r="AR51" s="108">
        <f>$F121*('Arnoud VDAB Pensioenopbouw'!$E$19*((100-(($C121-25)*($V$14)))/100))/100</f>
        <v>624.20552717700571</v>
      </c>
      <c r="AS51" s="106">
        <f t="shared" si="6"/>
        <v>16834.481886027283</v>
      </c>
      <c r="AT51" s="62">
        <f>AR51*((1+'Arnoud VDAB Pensioenopbouw'!$J$19/100)^($C$136-AG51))</f>
        <v>713.1482616116507</v>
      </c>
      <c r="AU51" s="23">
        <f t="shared" si="7"/>
        <v>30841.406890348684</v>
      </c>
      <c r="AV51" s="39">
        <f>((AO51/'Arnoud VDAB Pensioenopbouw'!$M$15)/AT51)*100</f>
        <v>0</v>
      </c>
    </row>
    <row r="52" spans="3:48" ht="15" thickBot="1" x14ac:dyDescent="0.35">
      <c r="C52" s="16">
        <v>58</v>
      </c>
      <c r="D52" s="17">
        <f>IF(Blad2!E46&lt;&gt;"",(D51*(1+(('Arnoud VDAB Pensioenopbouw'!$C$19)/100)))*(1+Blad2!E46/100),D51*(1+(('Arnoud VDAB Pensioenopbouw'!$C$19)/100)))</f>
        <v>30802</v>
      </c>
      <c r="E52" s="17">
        <f>(E51*(1+'Arnoud VDAB Pensioenopbouw'!$G$19/100))</f>
        <v>14802</v>
      </c>
      <c r="F52" s="17">
        <f t="shared" si="8"/>
        <v>16000</v>
      </c>
      <c r="G52" s="18">
        <f>'Arnoud VDAB Pensioenopbouw'!$D$19</f>
        <v>26.25</v>
      </c>
      <c r="H52" s="19">
        <f>F52*('Arnoud VDAB Pensioenopbouw'!$D$19/100)</f>
        <v>4200</v>
      </c>
      <c r="I52" s="20">
        <f>1+'Arnoud VDAB Pensioenopbouw'!$Q$19/100</f>
        <v>1.0269999999999999</v>
      </c>
      <c r="J52" s="21">
        <f>(Blad1!$C$71-C52)+$J$79</f>
        <v>9</v>
      </c>
      <c r="K52" s="22">
        <f>H52*((1+'Arnoud VDAB Pensioenopbouw'!$Q$19/100)^J52)</f>
        <v>5338.057932693041</v>
      </c>
      <c r="L52" s="23">
        <f t="shared" si="9"/>
        <v>361107.55994133098</v>
      </c>
      <c r="M52" s="178"/>
      <c r="N52" s="178"/>
      <c r="P52" s="108">
        <f>$F122*('Arnoud VDAB Pensioenopbouw'!$E$19*((100-(($C122-25)*($V$14)))/100))/100</f>
        <v>636.68963772054599</v>
      </c>
      <c r="Q52" s="106">
        <f t="shared" si="10"/>
        <v>17471.171523747827</v>
      </c>
      <c r="R52" s="62">
        <f>P52*((1+'Arnoud VDAB Pensioenopbouw'!$J$19/100)^($C$136-C52))</f>
        <v>809.2109931660998</v>
      </c>
      <c r="S52" s="23">
        <f t="shared" si="11"/>
        <v>36045.194578541777</v>
      </c>
      <c r="T52" s="39">
        <f>((K52/'Arnoud VDAB Pensioenopbouw'!$M$15)/R52)*100</f>
        <v>42.55884278336822</v>
      </c>
      <c r="X52" s="38">
        <f>Blad2!E47</f>
        <v>0</v>
      </c>
      <c r="AG52" s="16">
        <v>63</v>
      </c>
      <c r="AH52" s="17">
        <f>IF(Blad2!AG46&lt;&gt;"",(AH51*(1+(('Arnoud VDAB Pensioenopbouw'!$C$19)/100)))*(1+Blad2!AG46/100),AH51*(1+(('Arnoud VDAB Pensioenopbouw'!$C$19)/100)))</f>
        <v>0</v>
      </c>
      <c r="AI52" s="17">
        <f>(AI51*(1+'Arnoud VDAB Pensioenopbouw'!$G$19/100))</f>
        <v>0</v>
      </c>
      <c r="AJ52" s="17">
        <f t="shared" si="1"/>
        <v>0</v>
      </c>
      <c r="AK52" s="18">
        <f>'Arnoud VDAB Pensioenopbouw'!$D$19</f>
        <v>26.25</v>
      </c>
      <c r="AL52" s="19">
        <f>AJ52*('Arnoud VDAB Pensioenopbouw'!$D$19/100)</f>
        <v>0</v>
      </c>
      <c r="AM52" s="20">
        <f>1+'Arnoud VDAB Pensioenopbouw'!$Q$19/100</f>
        <v>1.0269999999999999</v>
      </c>
      <c r="AN52" s="21">
        <f>(Blad1!$C$71-AG52)+$J$79</f>
        <v>4</v>
      </c>
      <c r="AO52" s="22">
        <f>AL52*((1+'Arnoud VDAB Pensioenopbouw'!$Q$19/100)^AN52)</f>
        <v>0</v>
      </c>
      <c r="AP52" s="23">
        <f t="shared" si="5"/>
        <v>0</v>
      </c>
      <c r="AR52" s="108">
        <f>$F122*('Arnoud VDAB Pensioenopbouw'!$E$19*((100-(($C122-25)*($V$14)))/100))/100</f>
        <v>636.68963772054599</v>
      </c>
      <c r="AS52" s="106">
        <f t="shared" si="6"/>
        <v>17471.171523747827</v>
      </c>
      <c r="AT52" s="62">
        <f>AR52*((1+'Arnoud VDAB Pensioenopbouw'!$J$19/100)^($C$136-AG52))</f>
        <v>708.28746528128909</v>
      </c>
      <c r="AU52" s="23">
        <f t="shared" si="7"/>
        <v>31549.694355629974</v>
      </c>
      <c r="AV52" s="39">
        <f>((AO52/'Arnoud VDAB Pensioenopbouw'!$M$15)/AT52)*100</f>
        <v>0</v>
      </c>
    </row>
    <row r="53" spans="3:48" ht="15" thickBot="1" x14ac:dyDescent="0.35">
      <c r="C53" s="16">
        <v>59</v>
      </c>
      <c r="D53" s="17">
        <f>IF(Blad2!E47&lt;&gt;"",(D52*(1+(('Arnoud VDAB Pensioenopbouw'!$C$19)/100)))*(1+Blad2!E47/100),D52*(1+(('Arnoud VDAB Pensioenopbouw'!$C$19)/100)))</f>
        <v>30802</v>
      </c>
      <c r="E53" s="17">
        <f>(E52*(1+'Arnoud VDAB Pensioenopbouw'!$G$19/100))</f>
        <v>14802</v>
      </c>
      <c r="F53" s="17">
        <f t="shared" si="8"/>
        <v>16000</v>
      </c>
      <c r="G53" s="18">
        <f>'Arnoud VDAB Pensioenopbouw'!$D$19</f>
        <v>26.25</v>
      </c>
      <c r="H53" s="19">
        <f>F53*('Arnoud VDAB Pensioenopbouw'!$D$19/100)</f>
        <v>4200</v>
      </c>
      <c r="I53" s="20">
        <f>1+'Arnoud VDAB Pensioenopbouw'!$Q$19/100</f>
        <v>1.0269999999999999</v>
      </c>
      <c r="J53" s="21">
        <f>(Blad1!$C$71-C53)+$J$79</f>
        <v>8</v>
      </c>
      <c r="K53" s="22">
        <f>H53*((1+'Arnoud VDAB Pensioenopbouw'!$Q$19/100)^J53)</f>
        <v>5197.7195060302265</v>
      </c>
      <c r="L53" s="23">
        <f t="shared" si="9"/>
        <v>366305.27944736119</v>
      </c>
      <c r="M53" s="178"/>
      <c r="N53" s="178"/>
      <c r="P53" s="108">
        <f>$F123*('Arnoud VDAB Pensioenopbouw'!$E$19*((100-(($C123-25)*($V$14)))/100))/100</f>
        <v>649.42343047495706</v>
      </c>
      <c r="Q53" s="106">
        <f t="shared" si="10"/>
        <v>18120.594954222783</v>
      </c>
      <c r="R53" s="62">
        <f>P53*((1+'Arnoud VDAB Pensioenopbouw'!$J$19/100)^($C$136-C53))</f>
        <v>803.69543625065444</v>
      </c>
      <c r="S53" s="23">
        <f t="shared" si="11"/>
        <v>36848.890014792429</v>
      </c>
      <c r="T53" s="39">
        <f>((K53/'Arnoud VDAB Pensioenopbouw'!$M$15)/R53)*100</f>
        <v>41.724355669968844</v>
      </c>
      <c r="X53" s="38">
        <f>Blad2!E48</f>
        <v>0</v>
      </c>
      <c r="AG53" s="16">
        <v>64</v>
      </c>
      <c r="AH53" s="17">
        <f>IF(Blad2!AG47&lt;&gt;"",(AH52*(1+(('Arnoud VDAB Pensioenopbouw'!$C$19)/100)))*(1+Blad2!AG47/100),AH52*(1+(('Arnoud VDAB Pensioenopbouw'!$C$19)/100)))</f>
        <v>0</v>
      </c>
      <c r="AI53" s="17">
        <f>(AI52*(1+'Arnoud VDAB Pensioenopbouw'!$G$19/100))</f>
        <v>0</v>
      </c>
      <c r="AJ53" s="17">
        <f t="shared" si="1"/>
        <v>0</v>
      </c>
      <c r="AK53" s="18">
        <f>'Arnoud VDAB Pensioenopbouw'!$D$19</f>
        <v>26.25</v>
      </c>
      <c r="AL53" s="19">
        <f>AJ53*('Arnoud VDAB Pensioenopbouw'!$D$19/100)</f>
        <v>0</v>
      </c>
      <c r="AM53" s="20">
        <f>1+'Arnoud VDAB Pensioenopbouw'!$Q$19/100</f>
        <v>1.0269999999999999</v>
      </c>
      <c r="AN53" s="21">
        <f>(Blad1!$C$71-AG53)+$J$79</f>
        <v>3</v>
      </c>
      <c r="AO53" s="22">
        <f>AL53*((1+'Arnoud VDAB Pensioenopbouw'!$Q$19/100)^AN53)</f>
        <v>0</v>
      </c>
      <c r="AP53" s="23">
        <f t="shared" si="5"/>
        <v>0</v>
      </c>
      <c r="AR53" s="108">
        <f>$F123*('Arnoud VDAB Pensioenopbouw'!$E$19*((100-(($C123-25)*($V$14)))/100))/100</f>
        <v>649.42343047495706</v>
      </c>
      <c r="AS53" s="106">
        <f t="shared" si="6"/>
        <v>18120.594954222783</v>
      </c>
      <c r="AT53" s="62">
        <f>AR53*((1+'Arnoud VDAB Pensioenopbouw'!$J$19/100)^($C$136-AG53))</f>
        <v>703.4597999872592</v>
      </c>
      <c r="AU53" s="23">
        <f t="shared" si="7"/>
        <v>32253.154155617234</v>
      </c>
      <c r="AV53" s="39">
        <f>((AO53/'Arnoud VDAB Pensioenopbouw'!$M$15)/AT53)*100</f>
        <v>0</v>
      </c>
    </row>
    <row r="54" spans="3:48" ht="15" thickBot="1" x14ac:dyDescent="0.35">
      <c r="C54" s="16">
        <v>60</v>
      </c>
      <c r="D54" s="17">
        <f>IF(Blad2!E48&lt;&gt;"",(D53*(1+(('Arnoud VDAB Pensioenopbouw'!$C$19)/100)))*(1+Blad2!E48/100),D53*(1+(('Arnoud VDAB Pensioenopbouw'!$C$19)/100)))</f>
        <v>30802</v>
      </c>
      <c r="E54" s="17">
        <f>(E53*(1+'Arnoud VDAB Pensioenopbouw'!$G$19/100))</f>
        <v>14802</v>
      </c>
      <c r="F54" s="17">
        <f t="shared" si="8"/>
        <v>16000</v>
      </c>
      <c r="G54" s="18">
        <f>'Arnoud VDAB Pensioenopbouw'!$D$19</f>
        <v>26.25</v>
      </c>
      <c r="H54" s="19">
        <f>F54*('Arnoud VDAB Pensioenopbouw'!$D$19/100)</f>
        <v>4200</v>
      </c>
      <c r="I54" s="20">
        <f>1+'Arnoud VDAB Pensioenopbouw'!$Q$19/100</f>
        <v>1.0269999999999999</v>
      </c>
      <c r="J54" s="21">
        <f>(Blad1!$C$71-C54)+$J$79</f>
        <v>7</v>
      </c>
      <c r="K54" s="22">
        <f>H54*((1+'Arnoud VDAB Pensioenopbouw'!$Q$19/100)^J54)</f>
        <v>5061.0705998346903</v>
      </c>
      <c r="L54" s="23">
        <f t="shared" si="9"/>
        <v>371366.35004719585</v>
      </c>
      <c r="M54" s="178"/>
      <c r="N54" s="178"/>
      <c r="P54" s="108">
        <f>$F124*('Arnoud VDAB Pensioenopbouw'!$E$19*((100-(($C124-25)*($V$14)))/100))/100</f>
        <v>662.41189908445619</v>
      </c>
      <c r="Q54" s="106">
        <f t="shared" si="10"/>
        <v>18783.006853307237</v>
      </c>
      <c r="R54" s="62">
        <f>P54*((1+'Arnoud VDAB Pensioenopbouw'!$J$19/100)^($C$136-C54))</f>
        <v>798.21747319928681</v>
      </c>
      <c r="S54" s="23">
        <f t="shared" si="11"/>
        <v>37647.107487991714</v>
      </c>
      <c r="T54" s="39">
        <f>((K54/'Arnoud VDAB Pensioenopbouw'!$M$15)/R54)*100</f>
        <v>40.906231048989063</v>
      </c>
      <c r="X54" s="38">
        <f>Blad2!E49</f>
        <v>0</v>
      </c>
      <c r="AG54" s="16">
        <v>65</v>
      </c>
      <c r="AH54" s="17">
        <f>IF(Blad2!AG48&lt;&gt;"",(AH53*(1+(('Arnoud VDAB Pensioenopbouw'!$C$19)/100)))*(1+Blad2!AG48/100),AH53*(1+(('Arnoud VDAB Pensioenopbouw'!$C$19)/100)))</f>
        <v>0</v>
      </c>
      <c r="AI54" s="17">
        <f>(AI53*(1+'Arnoud VDAB Pensioenopbouw'!$G$19/100))</f>
        <v>0</v>
      </c>
      <c r="AJ54" s="17">
        <f t="shared" si="1"/>
        <v>0</v>
      </c>
      <c r="AK54" s="18">
        <f>'Arnoud VDAB Pensioenopbouw'!$D$19</f>
        <v>26.25</v>
      </c>
      <c r="AL54" s="19">
        <f>AJ54*('Arnoud VDAB Pensioenopbouw'!$D$19/100)</f>
        <v>0</v>
      </c>
      <c r="AM54" s="20">
        <f>1+'Arnoud VDAB Pensioenopbouw'!$Q$19/100</f>
        <v>1.0269999999999999</v>
      </c>
      <c r="AN54" s="21">
        <f>(Blad1!$C$71-AG54)+$J$79</f>
        <v>2</v>
      </c>
      <c r="AO54" s="22">
        <f>AL54*((1+'Arnoud VDAB Pensioenopbouw'!$Q$19/100)^AN54)</f>
        <v>0</v>
      </c>
      <c r="AP54" s="23">
        <f t="shared" si="5"/>
        <v>0</v>
      </c>
      <c r="AR54" s="108">
        <f>$F124*('Arnoud VDAB Pensioenopbouw'!$E$19*((100-(($C124-25)*($V$14)))/100))/100</f>
        <v>662.41189908445619</v>
      </c>
      <c r="AS54" s="106">
        <f t="shared" si="6"/>
        <v>18783.006853307237</v>
      </c>
      <c r="AT54" s="62">
        <f>AR54*((1+'Arnoud VDAB Pensioenopbouw'!$J$19/100)^($C$136-AG54))</f>
        <v>698.66503990944932</v>
      </c>
      <c r="AU54" s="23">
        <f t="shared" si="7"/>
        <v>32951.819195526681</v>
      </c>
      <c r="AV54" s="39">
        <f>((AO54/'Arnoud VDAB Pensioenopbouw'!$M$15)/AT54)*100</f>
        <v>0</v>
      </c>
    </row>
    <row r="55" spans="3:48" ht="15" thickBot="1" x14ac:dyDescent="0.35">
      <c r="C55" s="43">
        <v>61</v>
      </c>
      <c r="D55" s="44">
        <f>IF(Blad2!E50&lt;&gt;"",(D54*(1+(('Arnoud VDAB Pensioenopbouw'!$C$19)/100)))*(1+Blad2!E50/100),D54*(1+(('Arnoud VDAB Pensioenopbouw'!$C$19)/100)))</f>
        <v>30802</v>
      </c>
      <c r="E55" s="44">
        <f>(E54*(1+'Arnoud VDAB Pensioenopbouw'!$G$19/100))</f>
        <v>14802</v>
      </c>
      <c r="F55" s="44">
        <f t="shared" si="8"/>
        <v>16000</v>
      </c>
      <c r="G55" s="45">
        <f>'Arnoud VDAB Pensioenopbouw'!$D$19</f>
        <v>26.25</v>
      </c>
      <c r="H55" s="46">
        <f>F55*('Arnoud VDAB Pensioenopbouw'!$D$19/100)</f>
        <v>4200</v>
      </c>
      <c r="I55" s="47">
        <f>1+'Arnoud VDAB Pensioenopbouw'!$Q$19/100</f>
        <v>1.0269999999999999</v>
      </c>
      <c r="J55" s="48">
        <f>(Blad1!$C$71-C55)+$J$79</f>
        <v>6</v>
      </c>
      <c r="K55" s="42">
        <f>H55*((1+'Arnoud VDAB Pensioenopbouw'!$Q$19/100)^J55)</f>
        <v>4928.0142160026198</v>
      </c>
      <c r="L55" s="49">
        <f t="shared" si="9"/>
        <v>376294.36426319845</v>
      </c>
      <c r="M55" s="172"/>
      <c r="N55" s="172"/>
      <c r="P55" s="108">
        <f>$F125*('Arnoud VDAB Pensioenopbouw'!$E$19*((100-(($C125-25)*($V$14)))/100))/100</f>
        <v>675.66013706614535</v>
      </c>
      <c r="Q55" s="106">
        <f t="shared" si="10"/>
        <v>19458.666990373382</v>
      </c>
      <c r="R55" s="62">
        <f>P55*((1+'Arnoud VDAB Pensioenopbouw'!$J$19/100)^($C$136-C55))</f>
        <v>792.77684777339118</v>
      </c>
      <c r="S55" s="23">
        <f t="shared" si="11"/>
        <v>38439.884335765106</v>
      </c>
      <c r="T55" s="39">
        <f>((K55/'Arnoud VDAB Pensioenopbouw'!$M$15)/R55)*100</f>
        <v>40.104148087244177</v>
      </c>
      <c r="X55" s="38">
        <f>Blad2!E50</f>
        <v>0</v>
      </c>
      <c r="AG55" s="43">
        <v>66</v>
      </c>
      <c r="AH55" s="44">
        <f>IF(Blad2!AG50&lt;&gt;"",(AH54*(1+(('Arnoud VDAB Pensioenopbouw'!$C$19)/100)))*(1+Blad2!AG50/100),AH54*(1+(('Arnoud VDAB Pensioenopbouw'!$C$19)/100)))</f>
        <v>0</v>
      </c>
      <c r="AI55" s="44">
        <f>(AI54*(1+'Arnoud VDAB Pensioenopbouw'!$G$19/100))</f>
        <v>0</v>
      </c>
      <c r="AJ55" s="44">
        <f t="shared" si="1"/>
        <v>0</v>
      </c>
      <c r="AK55" s="45">
        <f>'Arnoud VDAB Pensioenopbouw'!$D$19</f>
        <v>26.25</v>
      </c>
      <c r="AL55" s="46">
        <f>AJ55*('Arnoud VDAB Pensioenopbouw'!$D$19/100)</f>
        <v>0</v>
      </c>
      <c r="AM55" s="47">
        <f>1+'Arnoud VDAB Pensioenopbouw'!$Q$19/100</f>
        <v>1.0269999999999999</v>
      </c>
      <c r="AN55" s="48">
        <f>(Blad1!$C$71-AG55)+$J$79</f>
        <v>1</v>
      </c>
      <c r="AO55" s="42">
        <f>AL55*((1+'Arnoud VDAB Pensioenopbouw'!$Q$19/100)^AN55)</f>
        <v>0</v>
      </c>
      <c r="AP55" s="49">
        <f t="shared" si="5"/>
        <v>0</v>
      </c>
      <c r="AR55" s="107">
        <f>$F125*('Arnoud VDAB Pensioenopbouw'!$E$19*((100-((Blad1!$C71-25)*($V$14)))/100))/100</f>
        <v>675.66013706614535</v>
      </c>
      <c r="AS55" s="105">
        <f t="shared" si="6"/>
        <v>19458.666990373382</v>
      </c>
      <c r="AT55" s="52">
        <f>AR55*((1+'Arnoud VDAB Pensioenopbouw'!$J$19/100)^($C$136-AG55))</f>
        <v>693.90296076693119</v>
      </c>
      <c r="AU55" s="49">
        <f t="shared" si="7"/>
        <v>33645.72215629361</v>
      </c>
      <c r="AV55" s="51">
        <f>((AO55/'Arnoud VDAB Pensioenopbouw'!$M$15)/AT55)*100</f>
        <v>0</v>
      </c>
    </row>
    <row r="56" spans="3:48" ht="15" thickBot="1" x14ac:dyDescent="0.35">
      <c r="C56" s="43">
        <v>62</v>
      </c>
      <c r="D56" s="44">
        <f>IF(Blad2!E51&lt;&gt;"",(D55*(1+(('Arnoud VDAB Pensioenopbouw'!$C$19)/100)))*(1+Blad2!E51/100),D55*(1+(('Arnoud VDAB Pensioenopbouw'!$C$19)/100)))</f>
        <v>30802</v>
      </c>
      <c r="E56" s="44">
        <f>(E55*(1+'Arnoud VDAB Pensioenopbouw'!$G$19/100))</f>
        <v>14802</v>
      </c>
      <c r="F56" s="44">
        <f t="shared" si="8"/>
        <v>16000</v>
      </c>
      <c r="G56" s="45">
        <f>'Arnoud VDAB Pensioenopbouw'!$D$19</f>
        <v>26.25</v>
      </c>
      <c r="H56" s="46">
        <f>F56*('Arnoud VDAB Pensioenopbouw'!$D$19/100)</f>
        <v>4200</v>
      </c>
      <c r="I56" s="47">
        <f>1+'Arnoud VDAB Pensioenopbouw'!$Q$19/100</f>
        <v>1.0269999999999999</v>
      </c>
      <c r="J56" s="48">
        <f>(Blad1!$C$71-C56)+$J$79</f>
        <v>5</v>
      </c>
      <c r="K56" s="42">
        <f>H56*((1+'Arnoud VDAB Pensioenopbouw'!$Q$19/100)^J56)</f>
        <v>4798.4559065264075</v>
      </c>
      <c r="L56" s="49">
        <f t="shared" si="9"/>
        <v>381092.82016972487</v>
      </c>
      <c r="M56" s="172"/>
      <c r="N56" s="172"/>
      <c r="P56" s="108">
        <f>$F126*('Arnoud VDAB Pensioenopbouw'!$E$19*((100-(($C126-25)*($V$14)))/100))/100</f>
        <v>689.17333980746832</v>
      </c>
      <c r="Q56" s="106">
        <f t="shared" si="10"/>
        <v>20147.84033018085</v>
      </c>
      <c r="R56" s="62">
        <f>P56*((1+'Arnoud VDAB Pensioenopbouw'!$J$19/100)^($C$136-C56))</f>
        <v>787.3733054808755</v>
      </c>
      <c r="S56" s="23">
        <f t="shared" si="11"/>
        <v>39227.257641245982</v>
      </c>
      <c r="T56" s="39">
        <f>((K56/'Arnoud VDAB Pensioenopbouw'!$M$15)/R56)*100</f>
        <v>39.317792242396244</v>
      </c>
      <c r="X56" s="38">
        <f>Blad2!E51</f>
        <v>0</v>
      </c>
      <c r="AG56" s="167"/>
      <c r="AH56" s="168"/>
      <c r="AI56" s="168"/>
      <c r="AJ56" s="168"/>
      <c r="AK56" s="169"/>
      <c r="AL56" s="170"/>
      <c r="AM56" s="167"/>
      <c r="AN56" s="171"/>
      <c r="AO56" s="168"/>
      <c r="AP56" s="172"/>
      <c r="AR56" s="173"/>
      <c r="AS56" s="172"/>
      <c r="AT56" s="172"/>
      <c r="AU56" s="172"/>
      <c r="AV56" s="174"/>
    </row>
    <row r="57" spans="3:48" ht="15" thickBot="1" x14ac:dyDescent="0.35">
      <c r="C57" s="43">
        <v>63</v>
      </c>
      <c r="D57" s="44">
        <f>IF(Blad2!E52&lt;&gt;"",(D56*(1+(('Arnoud VDAB Pensioenopbouw'!$C$19)/100)))*(1+Blad2!E52/100),D56*(1+(('Arnoud VDAB Pensioenopbouw'!$C$19)/100)))</f>
        <v>30802</v>
      </c>
      <c r="E57" s="44">
        <f>(E56*(1+'Arnoud VDAB Pensioenopbouw'!$G$19/100))</f>
        <v>14802</v>
      </c>
      <c r="F57" s="44">
        <f t="shared" si="8"/>
        <v>16000</v>
      </c>
      <c r="G57" s="45">
        <f>'Arnoud VDAB Pensioenopbouw'!$D$19</f>
        <v>26.25</v>
      </c>
      <c r="H57" s="46">
        <f>F57*('Arnoud VDAB Pensioenopbouw'!$D$19/100)</f>
        <v>4200</v>
      </c>
      <c r="I57" s="47">
        <f>1+'Arnoud VDAB Pensioenopbouw'!$Q$19/100</f>
        <v>1.0269999999999999</v>
      </c>
      <c r="J57" s="48">
        <f>(Blad1!$C$71-C57)+$J$79</f>
        <v>4</v>
      </c>
      <c r="K57" s="42">
        <f>H57*((1+'Arnoud VDAB Pensioenopbouw'!$Q$19/100)^J57)</f>
        <v>4672.3037064521986</v>
      </c>
      <c r="L57" s="49">
        <f t="shared" si="9"/>
        <v>385765.12387617707</v>
      </c>
      <c r="M57" s="172"/>
      <c r="N57" s="172"/>
      <c r="P57" s="108">
        <f>$F127*('Arnoud VDAB Pensioenopbouw'!$E$19*((100-(($C127-25)*($V$14)))/100))/100</f>
        <v>702.95680660361768</v>
      </c>
      <c r="Q57" s="106">
        <f t="shared" si="10"/>
        <v>20850.797136784469</v>
      </c>
      <c r="R57" s="62">
        <f>P57*((1+'Arnoud VDAB Pensioenopbouw'!$J$19/100)^($C$136-C57))</f>
        <v>782.00659356425808</v>
      </c>
      <c r="S57" s="23">
        <f t="shared" si="11"/>
        <v>40009.264234810238</v>
      </c>
      <c r="T57" s="39">
        <f>((K57/'Arnoud VDAB Pensioenopbouw'!$M$15)/R57)*100</f>
        <v>38.546855139604162</v>
      </c>
      <c r="X57" s="38">
        <f>Blad2!E52</f>
        <v>0</v>
      </c>
      <c r="AG57" s="167"/>
      <c r="AH57" s="168"/>
      <c r="AI57" s="168"/>
      <c r="AJ57" s="168"/>
      <c r="AK57" s="169"/>
      <c r="AL57" s="170"/>
      <c r="AM57" s="167"/>
      <c r="AN57" s="171"/>
      <c r="AO57" s="168"/>
      <c r="AP57" s="172"/>
      <c r="AR57" s="173"/>
      <c r="AS57" s="172"/>
      <c r="AT57" s="172"/>
      <c r="AU57" s="172"/>
      <c r="AV57" s="174"/>
    </row>
    <row r="58" spans="3:48" ht="15" thickBot="1" x14ac:dyDescent="0.35">
      <c r="C58" s="43">
        <v>64</v>
      </c>
      <c r="D58" s="44">
        <f>IF(Blad2!E53&lt;&gt;"",(D57*(1+(('Arnoud VDAB Pensioenopbouw'!$C$19)/100)))*(1+Blad2!E53/100),D57*(1+(('Arnoud VDAB Pensioenopbouw'!$C$19)/100)))</f>
        <v>30802</v>
      </c>
      <c r="E58" s="44">
        <f>(E57*(1+'Arnoud VDAB Pensioenopbouw'!$G$19/100))</f>
        <v>14802</v>
      </c>
      <c r="F58" s="44">
        <f t="shared" si="8"/>
        <v>16000</v>
      </c>
      <c r="G58" s="45">
        <f>'Arnoud VDAB Pensioenopbouw'!$D$19</f>
        <v>26.25</v>
      </c>
      <c r="H58" s="46">
        <f>F58*('Arnoud VDAB Pensioenopbouw'!$D$19/100)</f>
        <v>4200</v>
      </c>
      <c r="I58" s="47">
        <f>1+'Arnoud VDAB Pensioenopbouw'!$Q$19/100</f>
        <v>1.0269999999999999</v>
      </c>
      <c r="J58" s="48">
        <f>(Blad1!$C$71-C58)+$J$79</f>
        <v>3</v>
      </c>
      <c r="K58" s="42">
        <f>H58*((1+'Arnoud VDAB Pensioenopbouw'!$Q$19/100)^J58)</f>
        <v>4549.4680685999992</v>
      </c>
      <c r="L58" s="49">
        <f t="shared" si="9"/>
        <v>390314.59194477706</v>
      </c>
      <c r="M58" s="172"/>
      <c r="N58" s="172"/>
      <c r="P58" s="108">
        <f>$F128*('Arnoud VDAB Pensioenopbouw'!$E$19*((100-(($C128-25)*($V$14)))/100))/100</f>
        <v>717.01594273569003</v>
      </c>
      <c r="Q58" s="106">
        <f t="shared" si="10"/>
        <v>21567.813079520158</v>
      </c>
      <c r="R58" s="62">
        <f>P58*((1+'Arnoud VDAB Pensioenopbouw'!$J$19/100)^($C$136-C58))</f>
        <v>776.67646098884461</v>
      </c>
      <c r="S58" s="23">
        <f t="shared" si="11"/>
        <v>40785.94069579908</v>
      </c>
      <c r="T58" s="39">
        <f>((K58/'Arnoud VDAB Pensioenopbouw'!$M$15)/R58)*100</f>
        <v>37.791034450592306</v>
      </c>
      <c r="X58" s="38">
        <f>Blad2!E53</f>
        <v>0</v>
      </c>
      <c r="AG58" s="167"/>
      <c r="AH58" s="168"/>
      <c r="AI58" s="168"/>
      <c r="AJ58" s="168"/>
      <c r="AK58" s="169"/>
      <c r="AL58" s="170"/>
      <c r="AM58" s="167"/>
      <c r="AN58" s="171"/>
      <c r="AO58" s="168"/>
      <c r="AP58" s="172"/>
      <c r="AR58" s="173"/>
      <c r="AS58" s="172"/>
      <c r="AT58" s="172"/>
      <c r="AU58" s="172"/>
      <c r="AV58" s="174"/>
    </row>
    <row r="59" spans="3:48" ht="15" thickBot="1" x14ac:dyDescent="0.35">
      <c r="C59" s="43">
        <v>65</v>
      </c>
      <c r="D59" s="44">
        <f>IF(Blad2!E54&lt;&gt;"",(D58*(1+(('Arnoud VDAB Pensioenopbouw'!$C$19)/100)))*(1+Blad2!E54/100),D58*(1+(('Arnoud VDAB Pensioenopbouw'!$C$19)/100)))</f>
        <v>30802</v>
      </c>
      <c r="E59" s="44">
        <f>(E58*(1+'Arnoud VDAB Pensioenopbouw'!$G$19/100))</f>
        <v>14802</v>
      </c>
      <c r="F59" s="44">
        <f t="shared" si="8"/>
        <v>16000</v>
      </c>
      <c r="G59" s="45">
        <f>'Arnoud VDAB Pensioenopbouw'!$D$19</f>
        <v>26.25</v>
      </c>
      <c r="H59" s="46">
        <f>F59*('Arnoud VDAB Pensioenopbouw'!$D$19/100)</f>
        <v>4200</v>
      </c>
      <c r="I59" s="47">
        <f>1+'Arnoud VDAB Pensioenopbouw'!$Q$19/100</f>
        <v>1.0269999999999999</v>
      </c>
      <c r="J59" s="48">
        <f>(Blad1!$C$71-C59)+$J$79</f>
        <v>2</v>
      </c>
      <c r="K59" s="42">
        <f>H59*((1+'Arnoud VDAB Pensioenopbouw'!$Q$19/100)^J59)</f>
        <v>4429.8617999999988</v>
      </c>
      <c r="L59" s="49">
        <f t="shared" si="9"/>
        <v>394744.45374477707</v>
      </c>
      <c r="M59" s="172"/>
      <c r="N59" s="172"/>
      <c r="P59" s="108">
        <f>$F129*('Arnoud VDAB Pensioenopbouw'!$E$19*((100-(($C129-25)*($V$14)))/100))/100</f>
        <v>731.35626159040373</v>
      </c>
      <c r="Q59" s="106">
        <f t="shared" si="10"/>
        <v>22299.169341110563</v>
      </c>
      <c r="R59" s="62">
        <f>P59*((1+'Arnoud VDAB Pensioenopbouw'!$J$19/100)^($C$136-C59))</f>
        <v>771.38265843098475</v>
      </c>
      <c r="S59" s="23">
        <f t="shared" si="11"/>
        <v>41557.323354230066</v>
      </c>
      <c r="T59" s="39">
        <f>((K59/'Arnoud VDAB Pensioenopbouw'!$M$15)/R59)*100</f>
        <v>37.050033775090505</v>
      </c>
      <c r="X59" s="38">
        <f>Blad2!E54</f>
        <v>0</v>
      </c>
      <c r="AG59" s="167"/>
      <c r="AH59" s="168"/>
      <c r="AI59" s="168"/>
      <c r="AJ59" s="168"/>
      <c r="AK59" s="169"/>
      <c r="AL59" s="170"/>
      <c r="AM59" s="167"/>
      <c r="AN59" s="171"/>
      <c r="AO59" s="168"/>
      <c r="AP59" s="172"/>
      <c r="AR59" s="173"/>
      <c r="AS59" s="172"/>
      <c r="AT59" s="172"/>
      <c r="AU59" s="172"/>
      <c r="AV59" s="174"/>
    </row>
    <row r="60" spans="3:48" ht="15" thickBot="1" x14ac:dyDescent="0.35">
      <c r="C60" s="43">
        <v>66</v>
      </c>
      <c r="D60" s="44">
        <f>IF(Blad2!E55&lt;&gt;"",(D59*(1+(('Arnoud VDAB Pensioenopbouw'!$C$19)/100)))*(1+Blad2!E55/100),D59*(1+(('Arnoud VDAB Pensioenopbouw'!$C$19)/100)))</f>
        <v>30802</v>
      </c>
      <c r="E60" s="44">
        <f>(E59*(1+'Arnoud VDAB Pensioenopbouw'!$G$19/100))</f>
        <v>14802</v>
      </c>
      <c r="F60" s="44">
        <f t="shared" si="8"/>
        <v>16000</v>
      </c>
      <c r="G60" s="45">
        <f>'Arnoud VDAB Pensioenopbouw'!$D$19</f>
        <v>26.25</v>
      </c>
      <c r="H60" s="46">
        <f>F60*('Arnoud VDAB Pensioenopbouw'!$D$19/100)</f>
        <v>4200</v>
      </c>
      <c r="I60" s="47">
        <f>1+'Arnoud VDAB Pensioenopbouw'!$Q$19/100</f>
        <v>1.0269999999999999</v>
      </c>
      <c r="J60" s="48">
        <f>(Blad1!$C$71-C60)+$J$79</f>
        <v>1</v>
      </c>
      <c r="K60" s="42">
        <f>H60*((1+'Arnoud VDAB Pensioenopbouw'!$Q$19/100)^J60)</f>
        <v>4313.3999999999996</v>
      </c>
      <c r="L60" s="49">
        <f t="shared" si="9"/>
        <v>399057.85374477709</v>
      </c>
      <c r="M60" s="172"/>
      <c r="N60" s="172"/>
      <c r="P60" s="108">
        <f>$F130*('Arnoud VDAB Pensioenopbouw'!$E$19*((100-(($C130-25)*($V$14)))/100))/100</f>
        <v>745.98338682221186</v>
      </c>
      <c r="Q60" s="106">
        <f t="shared" si="10"/>
        <v>23045.152727932775</v>
      </c>
      <c r="R60" s="62">
        <f>P60*((1+'Arnoud VDAB Pensioenopbouw'!$J$19/100)^($C$136-C60))</f>
        <v>766.1249382664115</v>
      </c>
      <c r="S60" s="23">
        <f t="shared" si="11"/>
        <v>42323.448292496476</v>
      </c>
      <c r="T60" s="39">
        <f>((K60/'Arnoud VDAB Pensioenopbouw'!$M$15)/R60)*100</f>
        <v>36.323562524598536</v>
      </c>
      <c r="X60" s="38">
        <f>Blad2!E55</f>
        <v>0</v>
      </c>
      <c r="AG60" s="167"/>
      <c r="AH60" s="168"/>
      <c r="AI60" s="168"/>
      <c r="AJ60" s="168"/>
      <c r="AK60" s="169"/>
      <c r="AL60" s="170"/>
      <c r="AM60" s="167"/>
      <c r="AN60" s="171"/>
      <c r="AO60" s="168"/>
      <c r="AP60" s="172"/>
      <c r="AR60" s="173"/>
      <c r="AS60" s="172"/>
      <c r="AT60" s="172"/>
      <c r="AU60" s="172"/>
      <c r="AV60" s="174"/>
    </row>
    <row r="61" spans="3:48" ht="15" thickBot="1" x14ac:dyDescent="0.35">
      <c r="C61" s="43">
        <v>67</v>
      </c>
      <c r="D61" s="44">
        <f>IF(Blad2!E56&lt;&gt;"",(D60*(1+(('Arnoud VDAB Pensioenopbouw'!$C$19)/100)))*(1+Blad2!E56/100),D60*(1+(('Arnoud VDAB Pensioenopbouw'!$C$19)/100)))</f>
        <v>30802</v>
      </c>
      <c r="E61" s="44">
        <f>(E60*(1+'Arnoud VDAB Pensioenopbouw'!$G$19/100))</f>
        <v>14802</v>
      </c>
      <c r="F61" s="44">
        <f t="shared" si="8"/>
        <v>16000</v>
      </c>
      <c r="G61" s="45">
        <f>'Arnoud VDAB Pensioenopbouw'!$D$19</f>
        <v>26.25</v>
      </c>
      <c r="H61" s="46">
        <f>F61*('Arnoud VDAB Pensioenopbouw'!$D$19/100)</f>
        <v>4200</v>
      </c>
      <c r="I61" s="47">
        <f>1+'Arnoud VDAB Pensioenopbouw'!$Q$19/100</f>
        <v>1.0269999999999999</v>
      </c>
      <c r="J61" s="48">
        <f>(Blad1!$C$71-C61)+$J$79</f>
        <v>0</v>
      </c>
      <c r="K61" s="42">
        <f>H61*((1+'Arnoud VDAB Pensioenopbouw'!$Q$19/100)^J61)</f>
        <v>4200</v>
      </c>
      <c r="L61" s="49">
        <f t="shared" si="9"/>
        <v>403257.85374477709</v>
      </c>
      <c r="M61" s="172"/>
      <c r="N61" s="172"/>
      <c r="P61" s="108">
        <f>$F131*('Arnoud VDAB Pensioenopbouw'!$E$19*((100-(($C131-25)*($V$14)))/100))/100</f>
        <v>760.90305455865632</v>
      </c>
      <c r="Q61" s="106">
        <f t="shared" si="10"/>
        <v>23806.055782491432</v>
      </c>
      <c r="R61" s="62">
        <f>P61*((1+'Arnoud VDAB Pensioenopbouw'!$J$19/100)^($C$136-C61))</f>
        <v>760.90305455865632</v>
      </c>
      <c r="S61" s="23">
        <f t="shared" si="11"/>
        <v>43084.351347055133</v>
      </c>
      <c r="T61" s="39">
        <f>((K61/'Arnoud VDAB Pensioenopbouw'!$M$15)/R61)*100</f>
        <v>35.611335808429921</v>
      </c>
      <c r="X61" s="38">
        <f>Blad2!E56</f>
        <v>0</v>
      </c>
      <c r="AG61" s="167"/>
      <c r="AH61" s="168"/>
      <c r="AI61" s="168"/>
      <c r="AJ61" s="168"/>
      <c r="AK61" s="169"/>
      <c r="AL61" s="170"/>
      <c r="AM61" s="167"/>
      <c r="AN61" s="171"/>
      <c r="AO61" s="168"/>
      <c r="AP61" s="172"/>
      <c r="AR61" s="173"/>
      <c r="AS61" s="172"/>
      <c r="AT61" s="172"/>
      <c r="AU61" s="172"/>
      <c r="AV61" s="174"/>
    </row>
    <row r="62" spans="3:48" ht="15" thickBot="1" x14ac:dyDescent="0.35">
      <c r="C62" s="43">
        <v>68</v>
      </c>
      <c r="D62" s="44">
        <f>IF(Blad2!E57&lt;&gt;"",(D61*(1+(('Arnoud VDAB Pensioenopbouw'!$C$19)/100)))*(1+Blad2!E57/100),D61*(1+(('Arnoud VDAB Pensioenopbouw'!$C$19)/100)))</f>
        <v>30802</v>
      </c>
      <c r="E62" s="44">
        <f>(E61*(1+'Arnoud VDAB Pensioenopbouw'!$G$19/100))</f>
        <v>14802</v>
      </c>
      <c r="F62" s="44">
        <f t="shared" si="8"/>
        <v>16000</v>
      </c>
      <c r="G62" s="45">
        <f>'Arnoud VDAB Pensioenopbouw'!$D$19</f>
        <v>26.25</v>
      </c>
      <c r="H62" s="46">
        <f>F62*('Arnoud VDAB Pensioenopbouw'!$D$19/100)</f>
        <v>4200</v>
      </c>
      <c r="I62" s="47">
        <f>1+'Arnoud VDAB Pensioenopbouw'!$Q$19/100</f>
        <v>1.0269999999999999</v>
      </c>
      <c r="J62" s="48">
        <f>(Blad1!$C$71-C62)+$J$79</f>
        <v>-1</v>
      </c>
      <c r="K62" s="42">
        <f>H62*((1+'Arnoud VDAB Pensioenopbouw'!$Q$19/100)^J62)</f>
        <v>4089.5813047711786</v>
      </c>
      <c r="L62" s="49">
        <f t="shared" si="9"/>
        <v>407347.43504954828</v>
      </c>
      <c r="M62" s="172"/>
      <c r="N62" s="172"/>
      <c r="P62" s="108">
        <f>$F132*('Arnoud VDAB Pensioenopbouw'!$E$19*((100-(($C132-25)*($V$14)))/100))/100</f>
        <v>-7.1800889770253174E-5</v>
      </c>
      <c r="Q62" s="106">
        <f t="shared" si="10"/>
        <v>23806.055710690543</v>
      </c>
      <c r="R62" s="62">
        <f>P62*((1+'Arnoud VDAB Pensioenopbouw'!$J$19/100)^($C$136-C62))</f>
        <v>-6.9913232492943699E-5</v>
      </c>
      <c r="S62" s="23">
        <f t="shared" si="11"/>
        <v>43084.351277141897</v>
      </c>
      <c r="T62" s="39">
        <f>((K62/'Arnoud VDAB Pensioenopbouw'!$M$15)/R62)*100</f>
        <v>-377387721.52061093</v>
      </c>
      <c r="X62" s="38">
        <f>Blad2!E57</f>
        <v>0</v>
      </c>
      <c r="AG62" s="167"/>
      <c r="AH62" s="168"/>
      <c r="AI62" s="168"/>
      <c r="AJ62" s="168"/>
      <c r="AK62" s="169"/>
      <c r="AL62" s="170"/>
      <c r="AM62" s="167"/>
      <c r="AN62" s="171"/>
      <c r="AO62" s="168"/>
      <c r="AP62" s="172"/>
      <c r="AR62" s="173"/>
      <c r="AS62" s="172"/>
      <c r="AT62" s="172"/>
      <c r="AU62" s="172"/>
      <c r="AV62" s="174"/>
    </row>
    <row r="63" spans="3:48" ht="15" thickBot="1" x14ac:dyDescent="0.35">
      <c r="C63" s="43">
        <v>69</v>
      </c>
      <c r="D63" s="44">
        <f>IF(Blad2!E58&lt;&gt;"",(D62*(1+(('Arnoud VDAB Pensioenopbouw'!$C$19)/100)))*(1+Blad2!E58/100),D62*(1+(('Arnoud VDAB Pensioenopbouw'!$C$19)/100)))</f>
        <v>30802</v>
      </c>
      <c r="E63" s="44">
        <f>(E62*(1+'Arnoud VDAB Pensioenopbouw'!$G$19/100))</f>
        <v>14802</v>
      </c>
      <c r="F63" s="44">
        <f t="shared" si="8"/>
        <v>16000</v>
      </c>
      <c r="G63" s="45">
        <f>'Arnoud VDAB Pensioenopbouw'!$D$19</f>
        <v>26.25</v>
      </c>
      <c r="H63" s="46">
        <f>F63*('Arnoud VDAB Pensioenopbouw'!$D$19/100)</f>
        <v>4200</v>
      </c>
      <c r="I63" s="47">
        <f>1+'Arnoud VDAB Pensioenopbouw'!$Q$19/100</f>
        <v>1.0269999999999999</v>
      </c>
      <c r="J63" s="48">
        <f>(Blad1!$C$71-C63)+$J$79</f>
        <v>-2</v>
      </c>
      <c r="K63" s="42">
        <f>H63*((1+'Arnoud VDAB Pensioenopbouw'!$Q$19/100)^J63)</f>
        <v>3982.0655353176035</v>
      </c>
      <c r="L63" s="49">
        <f t="shared" si="9"/>
        <v>411329.50058486586</v>
      </c>
      <c r="M63" s="172"/>
      <c r="N63" s="172"/>
      <c r="P63" s="108">
        <f>$F133*('Arnoud VDAB Pensioenopbouw'!$E$19*((100-(($C133-25)*($V$14)))/100))/100</f>
        <v>-7.3236922805784384E-5</v>
      </c>
      <c r="Q63" s="106">
        <f t="shared" si="10"/>
        <v>23806.055637453621</v>
      </c>
      <c r="R63" s="62">
        <f>P63*((1+'Arnoud VDAB Pensioenopbouw'!$J$19/100)^($C$136-C63))</f>
        <v>-6.9436720528007095E-5</v>
      </c>
      <c r="S63" s="23">
        <f t="shared" si="11"/>
        <v>43084.351207705178</v>
      </c>
      <c r="T63" s="39">
        <f>((K63/'Arnoud VDAB Pensioenopbouw'!$M$15)/R63)*100</f>
        <v>-369987885.28302598</v>
      </c>
      <c r="X63" s="38">
        <f>Blad2!E58</f>
        <v>0</v>
      </c>
      <c r="AG63" s="167"/>
      <c r="AH63" s="168"/>
      <c r="AI63" s="168"/>
      <c r="AJ63" s="168"/>
      <c r="AK63" s="169"/>
      <c r="AL63" s="170"/>
      <c r="AM63" s="167"/>
      <c r="AN63" s="171"/>
      <c r="AO63" s="168"/>
      <c r="AP63" s="172"/>
      <c r="AR63" s="173"/>
      <c r="AS63" s="172"/>
      <c r="AT63" s="172"/>
      <c r="AU63" s="172"/>
      <c r="AV63" s="174"/>
    </row>
    <row r="64" spans="3:48" ht="15" thickBot="1" x14ac:dyDescent="0.35">
      <c r="C64" s="43">
        <v>70</v>
      </c>
      <c r="D64" s="44">
        <f>IF(Blad2!E59&lt;&gt;"",(D63*(1+(('Arnoud VDAB Pensioenopbouw'!$C$19)/100)))*(1+Blad2!E59/100),D63*(1+(('Arnoud VDAB Pensioenopbouw'!$C$19)/100)))</f>
        <v>30802</v>
      </c>
      <c r="E64" s="44">
        <f>(E63*(1+'Arnoud VDAB Pensioenopbouw'!$G$19/100))</f>
        <v>14802</v>
      </c>
      <c r="F64" s="44">
        <f t="shared" si="8"/>
        <v>16000</v>
      </c>
      <c r="G64" s="45">
        <f>'Arnoud VDAB Pensioenopbouw'!$D$19</f>
        <v>26.25</v>
      </c>
      <c r="H64" s="46">
        <f>F64*('Arnoud VDAB Pensioenopbouw'!$D$19/100)</f>
        <v>4200</v>
      </c>
      <c r="I64" s="47">
        <f>1+'Arnoud VDAB Pensioenopbouw'!$Q$19/100</f>
        <v>1.0269999999999999</v>
      </c>
      <c r="J64" s="48">
        <f>(Blad1!$C$71-C64)+$J$79</f>
        <v>-3</v>
      </c>
      <c r="K64" s="42">
        <f>H64*((1+'Arnoud VDAB Pensioenopbouw'!$Q$19/100)^J64)</f>
        <v>3877.3763732401208</v>
      </c>
      <c r="L64" s="49">
        <f t="shared" si="9"/>
        <v>415206.876958106</v>
      </c>
      <c r="M64" s="172"/>
      <c r="N64" s="172"/>
      <c r="P64" s="108">
        <f>$F134*('Arnoud VDAB Pensioenopbouw'!$E$19*((100-(($C134-25)*($V$14)))/100))/100</f>
        <v>-7.4701661261901615E-5</v>
      </c>
      <c r="Q64" s="106">
        <f t="shared" si="10"/>
        <v>23806.055562751961</v>
      </c>
      <c r="R64" s="62">
        <f>P64*((1+'Arnoud VDAB Pensioenopbouw'!$J$19/100)^($C$136-C64))</f>
        <v>-6.8963442004448596E-5</v>
      </c>
      <c r="S64" s="23">
        <f t="shared" si="11"/>
        <v>43084.351138741738</v>
      </c>
      <c r="T64" s="39">
        <f>((K64/'Arnoud VDAB Pensioenopbouw'!$M$15)/R64)*100</f>
        <v>-362733220.86570436</v>
      </c>
      <c r="X64" s="38">
        <f>Blad2!E59</f>
        <v>0</v>
      </c>
      <c r="AG64" s="167"/>
      <c r="AH64" s="168"/>
      <c r="AI64" s="168"/>
      <c r="AJ64" s="168"/>
      <c r="AK64" s="169"/>
      <c r="AL64" s="170"/>
      <c r="AM64" s="167"/>
      <c r="AN64" s="171"/>
      <c r="AO64" s="168"/>
      <c r="AP64" s="172"/>
      <c r="AR64" s="173"/>
      <c r="AS64" s="172"/>
      <c r="AT64" s="172"/>
      <c r="AU64" s="172"/>
      <c r="AV64" s="174"/>
    </row>
    <row r="65" spans="3:48" ht="15" thickBot="1" x14ac:dyDescent="0.35">
      <c r="C65" s="43">
        <v>71</v>
      </c>
      <c r="D65" s="44">
        <f>IF(Blad2!E60&lt;&gt;"",(D64*(1+(('Arnoud VDAB Pensioenopbouw'!$C$19)/100)))*(1+Blad2!E60/100),D64*(1+(('Arnoud VDAB Pensioenopbouw'!$C$19)/100)))</f>
        <v>30802</v>
      </c>
      <c r="E65" s="44">
        <f>(E64*(1+'Arnoud VDAB Pensioenopbouw'!$G$19/100))</f>
        <v>14802</v>
      </c>
      <c r="F65" s="44">
        <f t="shared" si="8"/>
        <v>16000</v>
      </c>
      <c r="G65" s="45">
        <f>'Arnoud VDAB Pensioenopbouw'!$D$19</f>
        <v>26.25</v>
      </c>
      <c r="H65" s="46">
        <f>F65*('Arnoud VDAB Pensioenopbouw'!$D$19/100)</f>
        <v>4200</v>
      </c>
      <c r="I65" s="47">
        <f>1+'Arnoud VDAB Pensioenopbouw'!$Q$19/100</f>
        <v>1.0269999999999999</v>
      </c>
      <c r="J65" s="48">
        <f>(Blad1!$C$71-C65)+$J$79</f>
        <v>-4</v>
      </c>
      <c r="K65" s="42">
        <f>H65*((1+'Arnoud VDAB Pensioenopbouw'!$Q$19/100)^J65)</f>
        <v>3775.4395065629219</v>
      </c>
      <c r="L65" s="49">
        <f t="shared" si="9"/>
        <v>418982.31646466895</v>
      </c>
      <c r="M65" s="172"/>
      <c r="N65" s="172"/>
      <c r="P65" s="108">
        <f>$F135*('Arnoud VDAB Pensioenopbouw'!$E$19*((100-(($C135-25)*($V$14)))/100))/100</f>
        <v>-7.6195694487139669E-5</v>
      </c>
      <c r="Q65" s="106">
        <f t="shared" si="10"/>
        <v>23806.055486556266</v>
      </c>
      <c r="R65" s="62">
        <f>P65*((1+'Arnoud VDAB Pensioenopbouw'!$J$19/100)^($C$136-C65))</f>
        <v>-6.8493389332558512E-5</v>
      </c>
      <c r="S65" s="23">
        <f t="shared" si="11"/>
        <v>43084.351070248347</v>
      </c>
      <c r="T65" s="39">
        <f>((K65/'Arnoud VDAB Pensioenopbouw'!$M$15)/R65)*100</f>
        <v>-355620804.77029824</v>
      </c>
      <c r="X65" s="38">
        <f>Blad2!E60</f>
        <v>0</v>
      </c>
      <c r="AG65" s="167"/>
      <c r="AH65" s="168"/>
      <c r="AI65" s="168"/>
      <c r="AJ65" s="168"/>
      <c r="AK65" s="169"/>
      <c r="AL65" s="170"/>
      <c r="AM65" s="167"/>
      <c r="AN65" s="171"/>
      <c r="AO65" s="168"/>
      <c r="AP65" s="172"/>
      <c r="AR65" s="173"/>
      <c r="AS65" s="172"/>
      <c r="AT65" s="172"/>
      <c r="AU65" s="172"/>
      <c r="AV65" s="174"/>
    </row>
    <row r="66" spans="3:48" ht="15" thickBot="1" x14ac:dyDescent="0.35">
      <c r="C66" s="63"/>
      <c r="D66" s="24"/>
      <c r="E66" s="299" t="s">
        <v>11</v>
      </c>
      <c r="F66" s="299"/>
      <c r="G66" s="299"/>
      <c r="H66" s="299"/>
      <c r="I66" s="299"/>
      <c r="J66" s="24">
        <f>(Blad1!$C$71-C66)+$J$79</f>
        <v>67</v>
      </c>
      <c r="K66" s="24"/>
      <c r="L66" s="25"/>
      <c r="M66" s="25"/>
      <c r="N66" s="25"/>
      <c r="AG66" s="63">
        <v>67</v>
      </c>
      <c r="AH66" s="24"/>
      <c r="AI66" s="299" t="s">
        <v>11</v>
      </c>
      <c r="AJ66" s="299"/>
      <c r="AK66" s="299"/>
      <c r="AL66" s="299"/>
      <c r="AM66" s="299"/>
      <c r="AN66" s="24">
        <f>(Blad1!$C$71-AG66)+$J$79</f>
        <v>0</v>
      </c>
      <c r="AO66" s="24"/>
      <c r="AP66" s="25"/>
      <c r="AU66" s="1"/>
    </row>
    <row r="67" spans="3:48" ht="15" thickBot="1" x14ac:dyDescent="0.35">
      <c r="C67" s="50" t="s">
        <v>100</v>
      </c>
      <c r="D67" s="24"/>
      <c r="E67" s="300" t="s">
        <v>3</v>
      </c>
      <c r="F67" s="301"/>
      <c r="G67" s="24"/>
      <c r="H67" s="49">
        <f>SUM(H14:H65)</f>
        <v>218400</v>
      </c>
      <c r="I67" s="24"/>
      <c r="J67" s="24"/>
      <c r="K67" s="49">
        <f>SUM(K14:K65)</f>
        <v>418982.31646466895</v>
      </c>
      <c r="L67" s="25"/>
      <c r="M67" s="25"/>
      <c r="N67" s="25"/>
      <c r="P67" s="49">
        <f>SUM(P14:P55)</f>
        <v>19458.666990373382</v>
      </c>
      <c r="R67" s="49">
        <f>SUM(R14:R55)</f>
        <v>38439.884335765106</v>
      </c>
      <c r="T67" s="51">
        <f>((K67/'Arnoud VDAB Pensioenopbouw'!$M$15)/R67)*100</f>
        <v>70.320495647586441</v>
      </c>
      <c r="AG67" s="50" t="s">
        <v>12</v>
      </c>
      <c r="AH67" s="24"/>
      <c r="AI67" s="300" t="s">
        <v>3</v>
      </c>
      <c r="AJ67" s="301"/>
      <c r="AK67" s="24"/>
      <c r="AL67" s="49">
        <f>SUM(AL14:AL55)</f>
        <v>0</v>
      </c>
      <c r="AM67" s="24"/>
      <c r="AN67" s="24"/>
      <c r="AO67" s="49">
        <f>SUM(AO14:AO55)</f>
        <v>0</v>
      </c>
      <c r="AP67" s="25"/>
      <c r="AR67" s="49">
        <f>SUM(AR14:AR55)</f>
        <v>19458.666990373382</v>
      </c>
      <c r="AT67" s="49">
        <f>SUM(AT14:AT55)</f>
        <v>33645.72215629361</v>
      </c>
      <c r="AU67" s="1"/>
      <c r="AV67" s="51">
        <f>((AO67/'Arnoud VDAB Pensioenopbouw'!$M$15)/AT67)*100</f>
        <v>0</v>
      </c>
    </row>
    <row r="68" spans="3:48" x14ac:dyDescent="0.3">
      <c r="AP68" s="1"/>
      <c r="AU68" s="1"/>
    </row>
    <row r="69" spans="3:48" x14ac:dyDescent="0.3">
      <c r="L69"/>
      <c r="M69"/>
      <c r="N69"/>
      <c r="S69"/>
    </row>
    <row r="70" spans="3:48" ht="15" thickBot="1" x14ac:dyDescent="0.35"/>
    <row r="71" spans="3:48" ht="15" thickBot="1" x14ac:dyDescent="0.35">
      <c r="C71" s="183">
        <f>INT('Arnoud VDAB Pensioenopbouw'!S22-1)</f>
        <v>67</v>
      </c>
    </row>
    <row r="74" spans="3:48" ht="15" thickBot="1" x14ac:dyDescent="0.35"/>
    <row r="75" spans="3:48" ht="15" thickBot="1" x14ac:dyDescent="0.35">
      <c r="C75" s="4"/>
      <c r="D75" s="5" t="s">
        <v>5</v>
      </c>
      <c r="E75" s="12" t="s">
        <v>6</v>
      </c>
      <c r="F75" s="4"/>
      <c r="G75" s="4"/>
      <c r="H75" s="4"/>
    </row>
    <row r="76" spans="3:48" ht="15" thickBot="1" x14ac:dyDescent="0.35">
      <c r="C76" s="4"/>
      <c r="D76" s="64">
        <f>'Arnoud VDAB Pensioenopbouw'!B19</f>
        <v>30802</v>
      </c>
      <c r="E76" s="64">
        <f>'Arnoud VDAB Pensioenopbouw'!F19</f>
        <v>14802</v>
      </c>
      <c r="F76" s="4"/>
      <c r="G76" s="10" t="s">
        <v>0</v>
      </c>
      <c r="H76" s="4"/>
      <c r="J76" s="5" t="s">
        <v>2</v>
      </c>
      <c r="K76" s="8" t="s">
        <v>17</v>
      </c>
      <c r="P76" s="10" t="s">
        <v>23</v>
      </c>
      <c r="R76" s="10" t="s">
        <v>27</v>
      </c>
    </row>
    <row r="77" spans="3:48" x14ac:dyDescent="0.3">
      <c r="C77" s="4"/>
      <c r="D77" s="5" t="s">
        <v>13</v>
      </c>
      <c r="E77" s="12" t="s">
        <v>13</v>
      </c>
      <c r="F77" s="4"/>
      <c r="G77" s="14" t="s">
        <v>16</v>
      </c>
      <c r="H77" s="4"/>
      <c r="J77" s="6" t="s">
        <v>9</v>
      </c>
      <c r="K77" s="68">
        <f>'Arnoud VDAB Pensioenopbouw'!Q19</f>
        <v>2.6999999999999913</v>
      </c>
      <c r="P77" s="69">
        <f>'Arnoud VDAB Pensioenopbouw'!E19</f>
        <v>1.875</v>
      </c>
      <c r="R77" s="68">
        <f>'Arnoud VDAB Pensioenopbouw'!J19</f>
        <v>2.7</v>
      </c>
    </row>
    <row r="78" spans="3:48" ht="15" thickBot="1" x14ac:dyDescent="0.35">
      <c r="C78" s="4"/>
      <c r="D78" s="65">
        <f>'Arnoud VDAB Pensioenopbouw'!C19</f>
        <v>0</v>
      </c>
      <c r="E78" s="65">
        <f>'Arnoud VDAB Pensioenopbouw'!G19</f>
        <v>0</v>
      </c>
      <c r="F78" s="4"/>
      <c r="G78" s="65">
        <f>'Arnoud VDAB Pensioenopbouw'!D19</f>
        <v>26.25</v>
      </c>
      <c r="H78" s="4"/>
      <c r="J78" s="6" t="s">
        <v>19</v>
      </c>
      <c r="K78" s="9" t="s">
        <v>18</v>
      </c>
      <c r="P78" s="11" t="s">
        <v>24</v>
      </c>
      <c r="R78" s="14" t="s">
        <v>26</v>
      </c>
    </row>
    <row r="79" spans="3:48" ht="15" thickBot="1" x14ac:dyDescent="0.35">
      <c r="C79" s="4"/>
      <c r="D79" s="7" t="s">
        <v>14</v>
      </c>
      <c r="E79" s="13" t="s">
        <v>15</v>
      </c>
      <c r="F79" s="4"/>
      <c r="G79" s="11" t="s">
        <v>20</v>
      </c>
      <c r="H79" s="4"/>
      <c r="J79" s="31">
        <f>IF('Arnoud VDAB Pensioenopbouw'!M19=("J"),J3,IF('Arnoud VDAB Pensioenopbouw'!M19=("j"),J3,0))</f>
        <v>0</v>
      </c>
      <c r="R79" s="11" t="s">
        <v>28</v>
      </c>
    </row>
    <row r="80" spans="3:48" x14ac:dyDescent="0.3">
      <c r="C80" s="4"/>
      <c r="D80" s="4"/>
      <c r="E80" s="4"/>
      <c r="F80" s="4"/>
      <c r="G80" s="4"/>
      <c r="H80" s="4"/>
    </row>
    <row r="81" spans="3:35" ht="15" thickBot="1" x14ac:dyDescent="0.35">
      <c r="C81" s="25"/>
      <c r="D81" s="25"/>
      <c r="H81" s="25"/>
      <c r="I81" s="25"/>
      <c r="J81" s="25"/>
      <c r="K81" s="25"/>
      <c r="L81" s="25"/>
      <c r="M81" s="25"/>
      <c r="N81" s="25"/>
    </row>
    <row r="82" spans="3:35" x14ac:dyDescent="0.3">
      <c r="C82" s="15" t="s">
        <v>46</v>
      </c>
      <c r="D82" s="40" t="s">
        <v>5</v>
      </c>
      <c r="E82" s="10" t="s">
        <v>6</v>
      </c>
      <c r="F82" s="26" t="s">
        <v>0</v>
      </c>
      <c r="G82" s="15" t="s">
        <v>0</v>
      </c>
      <c r="H82" s="15" t="s">
        <v>0</v>
      </c>
      <c r="I82" s="26" t="s">
        <v>1</v>
      </c>
      <c r="J82" s="26" t="s">
        <v>2</v>
      </c>
      <c r="K82" s="26" t="s">
        <v>21</v>
      </c>
      <c r="L82" s="26" t="s">
        <v>3</v>
      </c>
      <c r="M82" s="177"/>
      <c r="N82" s="177"/>
      <c r="P82" s="34" t="s">
        <v>0</v>
      </c>
      <c r="Q82" s="36" t="s">
        <v>121</v>
      </c>
      <c r="R82" s="36" t="s">
        <v>49</v>
      </c>
      <c r="S82" s="26" t="s">
        <v>130</v>
      </c>
      <c r="T82" s="34" t="s">
        <v>71</v>
      </c>
    </row>
    <row r="83" spans="3:35" ht="15" thickBot="1" x14ac:dyDescent="0.35">
      <c r="C83" s="28" t="s">
        <v>4</v>
      </c>
      <c r="D83" s="41" t="s">
        <v>37</v>
      </c>
      <c r="E83" s="28" t="s">
        <v>32</v>
      </c>
      <c r="F83" s="29" t="s">
        <v>33</v>
      </c>
      <c r="G83" s="28" t="s">
        <v>44</v>
      </c>
      <c r="H83" s="28" t="s">
        <v>7</v>
      </c>
      <c r="I83" s="29" t="s">
        <v>8</v>
      </c>
      <c r="J83" s="29" t="s">
        <v>9</v>
      </c>
      <c r="K83" s="29" t="s">
        <v>0</v>
      </c>
      <c r="L83" s="30" t="s">
        <v>81</v>
      </c>
      <c r="M83" s="177"/>
      <c r="N83" s="177"/>
      <c r="P83" s="35" t="s">
        <v>119</v>
      </c>
      <c r="Q83" s="61" t="s">
        <v>120</v>
      </c>
      <c r="R83" s="37" t="s">
        <v>118</v>
      </c>
      <c r="S83" s="27" t="s">
        <v>131</v>
      </c>
      <c r="T83" s="35" t="s">
        <v>70</v>
      </c>
    </row>
    <row r="84" spans="3:35" ht="15" thickBot="1" x14ac:dyDescent="0.35">
      <c r="C84" s="43">
        <v>20</v>
      </c>
      <c r="D84" s="44">
        <f>'Arnoud VDAB Pensioenopbouw'!B19</f>
        <v>30802</v>
      </c>
      <c r="E84" s="44">
        <f>'Arnoud VDAB Pensioenopbouw'!F19</f>
        <v>14802</v>
      </c>
      <c r="F84" s="44">
        <f t="shared" ref="F84" si="12">D84-E84</f>
        <v>16000</v>
      </c>
      <c r="G84" s="45">
        <f>'Arnoud VDAB Pensioenopbouw'!$D$19</f>
        <v>26.25</v>
      </c>
      <c r="H84" s="46">
        <f>F84*('Arnoud VDAB Pensioenopbouw'!$D$19/100)</f>
        <v>4200</v>
      </c>
      <c r="I84" s="47">
        <f>1+'Arnoud VDAB Pensioenopbouw'!$Q$19/100</f>
        <v>1.0269999999999999</v>
      </c>
      <c r="J84" s="48">
        <f>(Blad1!$C$71-C84)+$J$79</f>
        <v>47</v>
      </c>
      <c r="K84" s="42">
        <f>H84*((1+'Arnoud VDAB Pensioenopbouw'!$Q$19/100)^J84)</f>
        <v>14691.297031264798</v>
      </c>
      <c r="L84" s="46">
        <f>K84</f>
        <v>14691.297031264798</v>
      </c>
      <c r="M84" s="168"/>
      <c r="N84" s="172">
        <f t="shared" ref="N84:N124" si="13">IF((J84&lt;-0.1), 0,1)</f>
        <v>1</v>
      </c>
      <c r="P84" s="107">
        <f>$F84*('Arnoud VDAB Pensioenopbouw'!$E$19*((100-(($C84-20)*($V$14)))/100))/100</f>
        <v>300</v>
      </c>
      <c r="Q84" s="105">
        <f>P84</f>
        <v>300</v>
      </c>
      <c r="R84" s="52">
        <f>P84*((1+'Arnoud VDAB Pensioenopbouw'!$J$19/100)^($C$136-C84))</f>
        <v>1049.378359376057</v>
      </c>
      <c r="S84" s="53">
        <f>R84</f>
        <v>1049.378359376057</v>
      </c>
      <c r="T84" s="51">
        <f>((K84/'Arnoud VDAB Pensioenopbouw'!$M$15)/R84)*100</f>
        <v>90.322580645161281</v>
      </c>
    </row>
    <row r="85" spans="3:35" ht="15" thickBot="1" x14ac:dyDescent="0.35">
      <c r="C85" s="16">
        <v>21</v>
      </c>
      <c r="D85" s="17">
        <f>(IF(Blad2!E9&lt;&gt;"",(D84*(1+(('Arnoud VDAB Pensioenopbouw'!$C$19)/100)))*(1+Blad2!E9/100),D84*(1+(('Arnoud VDAB Pensioenopbouw'!$C$19)/100))))*(1+$L$4/100)</f>
        <v>31418.04</v>
      </c>
      <c r="E85" s="17">
        <f>(E84*(1+'Arnoud VDAB Pensioenopbouw'!$G$19/100))*(1+$L$4/100)</f>
        <v>15098.04</v>
      </c>
      <c r="F85" s="17">
        <f t="shared" ref="F85:F124" si="14">D85-E85</f>
        <v>16320</v>
      </c>
      <c r="G85" s="18">
        <f>'Arnoud VDAB Pensioenopbouw'!$D$19</f>
        <v>26.25</v>
      </c>
      <c r="H85" s="19">
        <f>F85*('Arnoud VDAB Pensioenopbouw'!$D$19/100)</f>
        <v>4284</v>
      </c>
      <c r="I85" s="20">
        <f>1+'Arnoud VDAB Pensioenopbouw'!$Q$19/100</f>
        <v>1.0269999999999999</v>
      </c>
      <c r="J85" s="21">
        <f>(Blad1!$C$71-C85)+$J$79</f>
        <v>46</v>
      </c>
      <c r="K85" s="22">
        <f>H85*((1+'Arnoud VDAB Pensioenopbouw'!$Q$19/100)^J85)</f>
        <v>14591.161608461631</v>
      </c>
      <c r="L85" s="23">
        <f t="shared" ref="L85:L124" si="15">L84+K85</f>
        <v>29282.458639726428</v>
      </c>
      <c r="M85" s="178"/>
      <c r="N85" s="172">
        <f t="shared" si="13"/>
        <v>1</v>
      </c>
      <c r="P85" s="108">
        <f>$F85*('Arnoud VDAB Pensioenopbouw'!$E$19*((100-(($C85-20)*($V$14)))/100))/100</f>
        <v>306</v>
      </c>
      <c r="Q85" s="106">
        <f t="shared" ref="Q85:Q124" si="16">P85+Q84</f>
        <v>606</v>
      </c>
      <c r="R85" s="62">
        <f>P85*((1+'Arnoud VDAB Pensioenopbouw'!$J$19/100)^($C$136-C85))</f>
        <v>1042.2258291758308</v>
      </c>
      <c r="S85" s="23">
        <f t="shared" ref="S85:S124" si="17">S84+R85</f>
        <v>2091.604188551888</v>
      </c>
      <c r="T85" s="39">
        <f>((K85/'Arnoud VDAB Pensioenopbouw'!$M$15)/R85)*100</f>
        <v>90.322580645161295</v>
      </c>
    </row>
    <row r="86" spans="3:35" ht="15" thickBot="1" x14ac:dyDescent="0.35">
      <c r="C86" s="16">
        <v>22</v>
      </c>
      <c r="D86" s="17">
        <f>(IF(Blad2!E10&lt;&gt;"",(D85*(1+(('Arnoud VDAB Pensioenopbouw'!$C$19)/100)))*(1+Blad2!E10/100),D85*(1+(('Arnoud VDAB Pensioenopbouw'!$C$19)/100))))*(1+$L$4/100)</f>
        <v>32046.400800000003</v>
      </c>
      <c r="E86" s="17">
        <f>(E85*(1+'Arnoud VDAB Pensioenopbouw'!$G$19/100))*(1+$L$4/100)</f>
        <v>15400.000800000002</v>
      </c>
      <c r="F86" s="17">
        <f t="shared" si="14"/>
        <v>16646.400000000001</v>
      </c>
      <c r="G86" s="18">
        <f>'Arnoud VDAB Pensioenopbouw'!$D$19</f>
        <v>26.25</v>
      </c>
      <c r="H86" s="19">
        <f>F86*('Arnoud VDAB Pensioenopbouw'!$D$19/100)</f>
        <v>4369.68</v>
      </c>
      <c r="I86" s="20">
        <f>1+'Arnoud VDAB Pensioenopbouw'!$Q$19/100</f>
        <v>1.0269999999999999</v>
      </c>
      <c r="J86" s="21">
        <f>(Blad1!$C$71-C86)+$J$79</f>
        <v>45</v>
      </c>
      <c r="K86" s="22">
        <f>H86*((1+'Arnoud VDAB Pensioenopbouw'!$Q$19/100)^J86)</f>
        <v>14491.708705580199</v>
      </c>
      <c r="L86" s="23">
        <f t="shared" si="15"/>
        <v>43774.167345306625</v>
      </c>
      <c r="M86" s="178"/>
      <c r="N86" s="172">
        <f t="shared" si="13"/>
        <v>1</v>
      </c>
      <c r="P86" s="108">
        <f>$F86*('Arnoud VDAB Pensioenopbouw'!$E$19*((100-(($C86-20)*($V$14)))/100))/100</f>
        <v>312.12000000000006</v>
      </c>
      <c r="Q86" s="106">
        <f t="shared" si="16"/>
        <v>918.12000000000012</v>
      </c>
      <c r="R86" s="62">
        <f>P86*((1+'Arnoud VDAB Pensioenopbouw'!$J$19/100)^($C$136-C86))</f>
        <v>1035.1220503985858</v>
      </c>
      <c r="S86" s="23">
        <f t="shared" si="17"/>
        <v>3126.726238950474</v>
      </c>
      <c r="T86" s="39">
        <f>((K86/'Arnoud VDAB Pensioenopbouw'!$M$15)/R86)*100</f>
        <v>90.322580645161281</v>
      </c>
    </row>
    <row r="87" spans="3:35" ht="15" thickBot="1" x14ac:dyDescent="0.35">
      <c r="C87" s="16">
        <v>23</v>
      </c>
      <c r="D87" s="17">
        <f>(IF(Blad2!E11&lt;&gt;"",(D86*(1+(('Arnoud VDAB Pensioenopbouw'!$C$19)/100)))*(1+Blad2!E11/100),D86*(1+(('Arnoud VDAB Pensioenopbouw'!$C$19)/100))))*(1+$L$4/100)</f>
        <v>32687.328816000005</v>
      </c>
      <c r="E87" s="17">
        <f>(E86*(1+'Arnoud VDAB Pensioenopbouw'!$G$19/100))*(1+$L$4/100)</f>
        <v>15708.000816000002</v>
      </c>
      <c r="F87" s="17">
        <f t="shared" si="14"/>
        <v>16979.328000000001</v>
      </c>
      <c r="G87" s="18">
        <f>'Arnoud VDAB Pensioenopbouw'!$D$19</f>
        <v>26.25</v>
      </c>
      <c r="H87" s="19">
        <f>F87*('Arnoud VDAB Pensioenopbouw'!$D$19/100)</f>
        <v>4457.0736000000006</v>
      </c>
      <c r="I87" s="20">
        <f>1+'Arnoud VDAB Pensioenopbouw'!$Q$19/100</f>
        <v>1.0269999999999999</v>
      </c>
      <c r="J87" s="21">
        <f>(Blad1!$C$71-C87)+$J$79</f>
        <v>44</v>
      </c>
      <c r="K87" s="22">
        <f>H87*((1+'Arnoud VDAB Pensioenopbouw'!$Q$19/100)^J87)</f>
        <v>14392.933670585986</v>
      </c>
      <c r="L87" s="23">
        <f t="shared" si="15"/>
        <v>58167.101015892607</v>
      </c>
      <c r="M87" s="178"/>
      <c r="N87" s="172">
        <f t="shared" si="13"/>
        <v>1</v>
      </c>
      <c r="P87" s="108">
        <f>$F87*('Arnoud VDAB Pensioenopbouw'!$E$19*((100-(($C87-20)*($V$14)))/100))/100</f>
        <v>318.36240000000004</v>
      </c>
      <c r="Q87" s="106">
        <f t="shared" si="16"/>
        <v>1236.4824000000001</v>
      </c>
      <c r="R87" s="62">
        <f>P87*((1+'Arnoud VDAB Pensioenopbouw'!$J$19/100)^($C$136-C87))</f>
        <v>1028.0666907561417</v>
      </c>
      <c r="S87" s="23">
        <f t="shared" si="17"/>
        <v>4154.7929297066157</v>
      </c>
      <c r="T87" s="39">
        <f>((K87/'Arnoud VDAB Pensioenopbouw'!$M$15)/R87)*100</f>
        <v>90.322580645161295</v>
      </c>
    </row>
    <row r="88" spans="3:35" ht="15" thickBot="1" x14ac:dyDescent="0.35">
      <c r="C88" s="16">
        <v>24</v>
      </c>
      <c r="D88" s="17">
        <f>(IF(Blad2!E12&lt;&gt;"",(D87*(1+(('Arnoud VDAB Pensioenopbouw'!$C$19)/100)))*(1+Blad2!E12/100),D87*(1+(('Arnoud VDAB Pensioenopbouw'!$C$19)/100))))*(1+$L$4/100)</f>
        <v>33341.075392320003</v>
      </c>
      <c r="E88" s="17">
        <f>(E87*(1+'Arnoud VDAB Pensioenopbouw'!$G$19/100))*(1+$L$4/100)</f>
        <v>16022.160832320002</v>
      </c>
      <c r="F88" s="17">
        <f t="shared" si="14"/>
        <v>17318.914560000001</v>
      </c>
      <c r="G88" s="18">
        <f>'Arnoud VDAB Pensioenopbouw'!$D$19</f>
        <v>26.25</v>
      </c>
      <c r="H88" s="19">
        <f>F88*('Arnoud VDAB Pensioenopbouw'!$D$19/100)</f>
        <v>4546.2150720000009</v>
      </c>
      <c r="I88" s="20">
        <f>1+'Arnoud VDAB Pensioenopbouw'!$Q$19/100</f>
        <v>1.0269999999999999</v>
      </c>
      <c r="J88" s="21">
        <f>(Blad1!$C$71-C88)+$J$79</f>
        <v>43</v>
      </c>
      <c r="K88" s="22">
        <f>H88*((1+'Arnoud VDAB Pensioenopbouw'!$Q$19/100)^J88)</f>
        <v>14294.831883152588</v>
      </c>
      <c r="L88" s="23">
        <f t="shared" si="15"/>
        <v>72461.93289904519</v>
      </c>
      <c r="M88" s="178"/>
      <c r="N88" s="172">
        <f t="shared" si="13"/>
        <v>1</v>
      </c>
      <c r="P88" s="108">
        <f>$F88*('Arnoud VDAB Pensioenopbouw'!$E$19*((100-(($C88-20)*($V$14)))/100))/100</f>
        <v>324.729648</v>
      </c>
      <c r="Q88" s="106">
        <f t="shared" si="16"/>
        <v>1561.2120480000001</v>
      </c>
      <c r="R88" s="62">
        <f>P88*((1+'Arnoud VDAB Pensioenopbouw'!$J$19/100)^($C$136-C88))</f>
        <v>1021.0594202251847</v>
      </c>
      <c r="S88" s="23">
        <f t="shared" si="17"/>
        <v>5175.8523499318007</v>
      </c>
      <c r="T88" s="39">
        <f>((K88/'Arnoud VDAB Pensioenopbouw'!$M$15)/R88)*100</f>
        <v>90.32258064516131</v>
      </c>
    </row>
    <row r="89" spans="3:35" ht="15" thickBot="1" x14ac:dyDescent="0.35">
      <c r="C89" s="16">
        <v>25</v>
      </c>
      <c r="D89" s="17">
        <f>(IF(Blad2!E13&lt;&gt;"",(D88*(1+(('Arnoud VDAB Pensioenopbouw'!$C$19)/100)))*(1+Blad2!E13/100),D88*(1+(('Arnoud VDAB Pensioenopbouw'!$C$19)/100))))*(1+$L$4/100)</f>
        <v>34007.896900166401</v>
      </c>
      <c r="E89" s="17">
        <f>(E88*(1+'Arnoud VDAB Pensioenopbouw'!$G$19/100))*(1+$L$4/100)</f>
        <v>16342.604048966403</v>
      </c>
      <c r="F89" s="17">
        <f t="shared" si="14"/>
        <v>17665.2928512</v>
      </c>
      <c r="G89" s="18">
        <f>'Arnoud VDAB Pensioenopbouw'!$D$19</f>
        <v>26.25</v>
      </c>
      <c r="H89" s="19">
        <f>F89*('Arnoud VDAB Pensioenopbouw'!$D$19/100)</f>
        <v>4637.1393734399999</v>
      </c>
      <c r="I89" s="20">
        <f>1+'Arnoud VDAB Pensioenopbouw'!$Q$19/100</f>
        <v>1.0269999999999999</v>
      </c>
      <c r="J89" s="21">
        <f>(Blad1!$C$71-C89)+$J$79</f>
        <v>42</v>
      </c>
      <c r="K89" s="22">
        <f>H89*((1+'Arnoud VDAB Pensioenopbouw'!$Q$19/100)^J89)</f>
        <v>14197.398754445605</v>
      </c>
      <c r="L89" s="23">
        <f t="shared" si="15"/>
        <v>86659.331653490794</v>
      </c>
      <c r="M89" s="178"/>
      <c r="N89" s="172">
        <f t="shared" si="13"/>
        <v>1</v>
      </c>
      <c r="P89" s="108">
        <f>$F89*('Arnoud VDAB Pensioenopbouw'!$E$19*((100-(($C89-20)*($V$14)))/100))/100</f>
        <v>331.22424096000003</v>
      </c>
      <c r="Q89" s="106">
        <f t="shared" si="16"/>
        <v>1892.4362889600002</v>
      </c>
      <c r="R89" s="62">
        <f>P89*((1+'Arnoud VDAB Pensioenopbouw'!$J$19/100)^($C$136-C89))</f>
        <v>1014.099911031829</v>
      </c>
      <c r="S89" s="23">
        <f t="shared" si="17"/>
        <v>6189.9522609636297</v>
      </c>
      <c r="T89" s="39">
        <f>((K89/'Arnoud VDAB Pensioenopbouw'!$M$15)/R89)*100</f>
        <v>90.322580645161281</v>
      </c>
    </row>
    <row r="90" spans="3:35" ht="15" thickBot="1" x14ac:dyDescent="0.35">
      <c r="C90" s="16">
        <v>26</v>
      </c>
      <c r="D90" s="17">
        <f>(IF(Blad2!E14&lt;&gt;"",(D89*(1+(('Arnoud VDAB Pensioenopbouw'!$C$19)/100)))*(1+Blad2!E14/100),D89*(1+(('Arnoud VDAB Pensioenopbouw'!$C$19)/100))))*(1+$L$4/100)</f>
        <v>34688.05483816973</v>
      </c>
      <c r="E90" s="17">
        <f>(E89*(1+'Arnoud VDAB Pensioenopbouw'!$G$19/100))*(1+$L$4/100)</f>
        <v>16669.456129945731</v>
      </c>
      <c r="F90" s="17">
        <f t="shared" si="14"/>
        <v>18018.598708223999</v>
      </c>
      <c r="G90" s="18">
        <f>'Arnoud VDAB Pensioenopbouw'!$D$19</f>
        <v>26.25</v>
      </c>
      <c r="H90" s="19">
        <f>F90*('Arnoud VDAB Pensioenopbouw'!$D$19/100)</f>
        <v>4729.8821609088</v>
      </c>
      <c r="I90" s="20">
        <f>1+'Arnoud VDAB Pensioenopbouw'!$Q$19/100</f>
        <v>1.0269999999999999</v>
      </c>
      <c r="J90" s="21">
        <f>(Blad1!$C$71-C90)+$J$79</f>
        <v>41</v>
      </c>
      <c r="K90" s="22">
        <f>H90*((1+'Arnoud VDAB Pensioenopbouw'!$Q$19/100)^J90)</f>
        <v>14100.629726908002</v>
      </c>
      <c r="L90" s="23">
        <f t="shared" si="15"/>
        <v>100759.9613803988</v>
      </c>
      <c r="M90" s="178"/>
      <c r="N90" s="172">
        <f t="shared" si="13"/>
        <v>1</v>
      </c>
      <c r="P90" s="108">
        <f>$F90*('Arnoud VDAB Pensioenopbouw'!$E$19*((100-(($C90-20)*($V$14)))/100))/100</f>
        <v>337.84872577919998</v>
      </c>
      <c r="Q90" s="106">
        <f t="shared" si="16"/>
        <v>2230.2850147392001</v>
      </c>
      <c r="R90" s="62">
        <f>P90*((1+'Arnoud VDAB Pensioenopbouw'!$J$19/100)^($C$136-C90))</f>
        <v>1007.1878376362858</v>
      </c>
      <c r="S90" s="23">
        <f t="shared" si="17"/>
        <v>7197.1400985999153</v>
      </c>
      <c r="T90" s="39">
        <f>((K90/'Arnoud VDAB Pensioenopbouw'!$M$15)/R90)*100</f>
        <v>90.322580645161295</v>
      </c>
      <c r="AI90" s="25"/>
    </row>
    <row r="91" spans="3:35" ht="15" thickBot="1" x14ac:dyDescent="0.35">
      <c r="C91" s="16">
        <v>27</v>
      </c>
      <c r="D91" s="17">
        <f>(IF(Blad2!E15&lt;&gt;"",(D90*(1+(('Arnoud VDAB Pensioenopbouw'!$C$19)/100)))*(1+Blad2!E15/100),D90*(1+(('Arnoud VDAB Pensioenopbouw'!$C$19)/100))))*(1+$L$4/100)</f>
        <v>35381.815934933125</v>
      </c>
      <c r="E91" s="17">
        <f>(E90*(1+'Arnoud VDAB Pensioenopbouw'!$G$19/100))*(1+$L$4/100)</f>
        <v>17002.845252544645</v>
      </c>
      <c r="F91" s="17">
        <f t="shared" si="14"/>
        <v>18378.970682388481</v>
      </c>
      <c r="G91" s="18">
        <f>'Arnoud VDAB Pensioenopbouw'!$D$19</f>
        <v>26.25</v>
      </c>
      <c r="H91" s="19">
        <f>F91*('Arnoud VDAB Pensioenopbouw'!$D$19/100)</f>
        <v>4824.479804126976</v>
      </c>
      <c r="I91" s="20">
        <f>1+'Arnoud VDAB Pensioenopbouw'!$Q$19/100</f>
        <v>1.0269999999999999</v>
      </c>
      <c r="J91" s="21">
        <f>(Blad1!$C$71-C91)+$J$79</f>
        <v>40</v>
      </c>
      <c r="K91" s="22">
        <f>H91*((1+'Arnoud VDAB Pensioenopbouw'!$Q$19/100)^J91)</f>
        <v>14004.520274046898</v>
      </c>
      <c r="L91" s="23">
        <f t="shared" si="15"/>
        <v>114764.4816544457</v>
      </c>
      <c r="M91" s="178"/>
      <c r="N91" s="172">
        <f t="shared" si="13"/>
        <v>1</v>
      </c>
      <c r="P91" s="108">
        <f>$F91*('Arnoud VDAB Pensioenopbouw'!$E$19*((100-(($C91-20)*($V$14)))/100))/100</f>
        <v>344.60570029478401</v>
      </c>
      <c r="Q91" s="106">
        <f t="shared" si="16"/>
        <v>2574.8907150339842</v>
      </c>
      <c r="R91" s="62">
        <f>P91*((1+'Arnoud VDAB Pensioenopbouw'!$J$19/100)^($C$136-C91))</f>
        <v>1000.3228767176356</v>
      </c>
      <c r="S91" s="23">
        <f t="shared" si="17"/>
        <v>8197.4629753175504</v>
      </c>
      <c r="T91" s="39">
        <f>((K91/'Arnoud VDAB Pensioenopbouw'!$M$15)/R91)*100</f>
        <v>90.322580645161281</v>
      </c>
    </row>
    <row r="92" spans="3:35" ht="15" thickBot="1" x14ac:dyDescent="0.35">
      <c r="C92" s="16">
        <v>28</v>
      </c>
      <c r="D92" s="17">
        <f>(IF(Blad2!E16&lt;&gt;"",(D91*(1+(('Arnoud VDAB Pensioenopbouw'!$C$19)/100)))*(1+Blad2!E16/100),D91*(1+(('Arnoud VDAB Pensioenopbouw'!$C$19)/100))))*(1+$L$4/100)</f>
        <v>36089.452253631789</v>
      </c>
      <c r="E92" s="17">
        <f>(E91*(1+'Arnoud VDAB Pensioenopbouw'!$G$19/100))*(1+$L$4/100)</f>
        <v>17342.902157595538</v>
      </c>
      <c r="F92" s="17">
        <f t="shared" si="14"/>
        <v>18746.550096036251</v>
      </c>
      <c r="G92" s="18">
        <f>'Arnoud VDAB Pensioenopbouw'!$D$19</f>
        <v>26.25</v>
      </c>
      <c r="H92" s="19">
        <f>F92*('Arnoud VDAB Pensioenopbouw'!$D$19/100)</f>
        <v>4920.9694002095166</v>
      </c>
      <c r="I92" s="20">
        <f>1+'Arnoud VDAB Pensioenopbouw'!$Q$19/100</f>
        <v>1.0269999999999999</v>
      </c>
      <c r="J92" s="21">
        <f>(Blad1!$C$71-C92)+$J$79</f>
        <v>39</v>
      </c>
      <c r="K92" s="22">
        <f>H92*((1+'Arnoud VDAB Pensioenopbouw'!$Q$19/100)^J92)</f>
        <v>13909.065900221853</v>
      </c>
      <c r="L92" s="23">
        <f t="shared" si="15"/>
        <v>128673.54755466754</v>
      </c>
      <c r="M92" s="178"/>
      <c r="N92" s="172">
        <f t="shared" si="13"/>
        <v>1</v>
      </c>
      <c r="P92" s="108">
        <f>$F92*('Arnoud VDAB Pensioenopbouw'!$E$19*((100-(($C92-20)*($V$14)))/100))/100</f>
        <v>351.49781430067975</v>
      </c>
      <c r="Q92" s="106">
        <f t="shared" si="16"/>
        <v>2926.3885293346639</v>
      </c>
      <c r="R92" s="62">
        <f>P92*((1+'Arnoud VDAB Pensioenopbouw'!$J$19/100)^($C$136-C92))</f>
        <v>993.5047071587037</v>
      </c>
      <c r="S92" s="23">
        <f t="shared" si="17"/>
        <v>9190.9676824762537</v>
      </c>
      <c r="T92" s="39">
        <f>((K92/'Arnoud VDAB Pensioenopbouw'!$M$15)/R92)*100</f>
        <v>90.322580645161295</v>
      </c>
    </row>
    <row r="93" spans="3:35" ht="15" thickBot="1" x14ac:dyDescent="0.35">
      <c r="C93" s="16">
        <v>29</v>
      </c>
      <c r="D93" s="17">
        <f>(IF(Blad2!E17&lt;&gt;"",(D92*(1+(('Arnoud VDAB Pensioenopbouw'!$C$19)/100)))*(1+Blad2!E17/100),D92*(1+(('Arnoud VDAB Pensioenopbouw'!$C$19)/100))))*(1+$L$4/100)</f>
        <v>36811.241298704423</v>
      </c>
      <c r="E93" s="17">
        <f>(E92*(1+'Arnoud VDAB Pensioenopbouw'!$G$19/100))*(1+$L$4/100)</f>
        <v>17689.760200747449</v>
      </c>
      <c r="F93" s="17">
        <f t="shared" si="14"/>
        <v>19121.481097956974</v>
      </c>
      <c r="G93" s="18">
        <f>'Arnoud VDAB Pensioenopbouw'!$D$19</f>
        <v>26.25</v>
      </c>
      <c r="H93" s="19">
        <f>F93*('Arnoud VDAB Pensioenopbouw'!$D$19/100)</f>
        <v>5019.388788213706</v>
      </c>
      <c r="I93" s="20">
        <f>1+'Arnoud VDAB Pensioenopbouw'!$Q$19/100</f>
        <v>1.0269999999999999</v>
      </c>
      <c r="J93" s="21">
        <f>(Blad1!$C$71-C93)+$J$79</f>
        <v>38</v>
      </c>
      <c r="K93" s="22">
        <f>H93*((1+'Arnoud VDAB Pensioenopbouw'!$Q$19/100)^J93)</f>
        <v>13814.262140434554</v>
      </c>
      <c r="L93" s="23">
        <f t="shared" si="15"/>
        <v>142487.8096951021</v>
      </c>
      <c r="M93" s="178"/>
      <c r="N93" s="172">
        <f t="shared" si="13"/>
        <v>1</v>
      </c>
      <c r="P93" s="108">
        <f>$F93*('Arnoud VDAB Pensioenopbouw'!$E$19*((100-(($C93-20)*($V$14)))/100))/100</f>
        <v>358.52777058669324</v>
      </c>
      <c r="Q93" s="106">
        <f t="shared" si="16"/>
        <v>3284.9162999213572</v>
      </c>
      <c r="R93" s="62">
        <f>P93*((1+'Arnoud VDAB Pensioenopbouw'!$J$19/100)^($C$136-C93))</f>
        <v>986.73301003103938</v>
      </c>
      <c r="S93" s="23">
        <f t="shared" si="17"/>
        <v>10177.700692507293</v>
      </c>
      <c r="T93" s="39">
        <f>((K93/'Arnoud VDAB Pensioenopbouw'!$M$15)/R93)*100</f>
        <v>90.32258064516131</v>
      </c>
    </row>
    <row r="94" spans="3:35" ht="15" thickBot="1" x14ac:dyDescent="0.35">
      <c r="C94" s="43">
        <v>30</v>
      </c>
      <c r="D94" s="17">
        <f>(IF(Blad2!E18&lt;&gt;"",(D93*(1+(('Arnoud VDAB Pensioenopbouw'!$C$19)/100)))*(1+Blad2!E18/100),D93*(1+(('Arnoud VDAB Pensioenopbouw'!$C$19)/100))))*(1+$L$4/100)</f>
        <v>37547.466124678511</v>
      </c>
      <c r="E94" s="17">
        <f>(E93*(1+'Arnoud VDAB Pensioenopbouw'!$G$19/100))*(1+$L$4/100)</f>
        <v>18043.555404762399</v>
      </c>
      <c r="F94" s="44">
        <f t="shared" si="14"/>
        <v>19503.910719916112</v>
      </c>
      <c r="G94" s="45">
        <f>'Arnoud VDAB Pensioenopbouw'!$D$19</f>
        <v>26.25</v>
      </c>
      <c r="H94" s="46">
        <f>F94*('Arnoud VDAB Pensioenopbouw'!$D$19/100)</f>
        <v>5119.7765639779791</v>
      </c>
      <c r="I94" s="47">
        <f>1+'Arnoud VDAB Pensioenopbouw'!$Q$19/100</f>
        <v>1.0269999999999999</v>
      </c>
      <c r="J94" s="48">
        <f>(Blad1!$C$71-C94)+$J$79</f>
        <v>37</v>
      </c>
      <c r="K94" s="42">
        <f>H94*((1+'Arnoud VDAB Pensioenopbouw'!$Q$19/100)^J94)</f>
        <v>13720.104560120002</v>
      </c>
      <c r="L94" s="49">
        <f t="shared" si="15"/>
        <v>156207.9142552221</v>
      </c>
      <c r="M94" s="172"/>
      <c r="N94" s="172">
        <f t="shared" si="13"/>
        <v>1</v>
      </c>
      <c r="P94" s="108">
        <f>$F94*('Arnoud VDAB Pensioenopbouw'!$E$19*((100-(($C94-20)*($V$14)))/100))/100</f>
        <v>365.69832599842709</v>
      </c>
      <c r="Q94" s="105">
        <f t="shared" si="16"/>
        <v>3650.6146259197844</v>
      </c>
      <c r="R94" s="52">
        <f>P94*((1+'Arnoud VDAB Pensioenopbouw'!$J$19/100)^($C$136-C94))</f>
        <v>980.00746858000025</v>
      </c>
      <c r="S94" s="49">
        <f t="shared" si="17"/>
        <v>11157.708161087294</v>
      </c>
      <c r="T94" s="51">
        <f>((K94/'Arnoud VDAB Pensioenopbouw'!$M$15)/R94)*100</f>
        <v>90.322580645161281</v>
      </c>
    </row>
    <row r="95" spans="3:35" ht="15" thickBot="1" x14ac:dyDescent="0.35">
      <c r="C95" s="16">
        <v>31</v>
      </c>
      <c r="D95" s="17">
        <f>(IF(Blad2!E19&lt;&gt;"",(D94*(1+(('Arnoud VDAB Pensioenopbouw'!$C$19)/100)))*(1+Blad2!E19/100),D94*(1+(('Arnoud VDAB Pensioenopbouw'!$C$19)/100))))*(1+$L$4/100)</f>
        <v>38298.415447172083</v>
      </c>
      <c r="E95" s="17">
        <f>(E94*(1+'Arnoud VDAB Pensioenopbouw'!$G$19/100))*(1+$L$4/100)</f>
        <v>18404.426512857648</v>
      </c>
      <c r="F95" s="17">
        <f t="shared" si="14"/>
        <v>19893.988934314435</v>
      </c>
      <c r="G95" s="18">
        <f>'Arnoud VDAB Pensioenopbouw'!$D$19</f>
        <v>26.25</v>
      </c>
      <c r="H95" s="19">
        <f>F95*('Arnoud VDAB Pensioenopbouw'!$D$19/100)</f>
        <v>5222.1720952575397</v>
      </c>
      <c r="I95" s="20">
        <f>1+'Arnoud VDAB Pensioenopbouw'!$Q$19/100</f>
        <v>1.0269999999999999</v>
      </c>
      <c r="J95" s="21">
        <f>(Blad1!$C$71-C95)+$J$79</f>
        <v>36</v>
      </c>
      <c r="K95" s="22">
        <f>H95*((1+'Arnoud VDAB Pensioenopbouw'!$Q$19/100)^J95)</f>
        <v>13626.588754939054</v>
      </c>
      <c r="L95" s="23">
        <f t="shared" si="15"/>
        <v>169834.50301016116</v>
      </c>
      <c r="M95" s="178"/>
      <c r="N95" s="172">
        <f t="shared" si="13"/>
        <v>1</v>
      </c>
      <c r="P95" s="108">
        <f>$F95*('Arnoud VDAB Pensioenopbouw'!$E$19*((100-(($C95-20)*($V$14)))/100))/100</f>
        <v>373.01229251839561</v>
      </c>
      <c r="Q95" s="106">
        <f t="shared" si="16"/>
        <v>4023.6269184381799</v>
      </c>
      <c r="R95" s="62">
        <f>P95*((1+'Arnoud VDAB Pensioenopbouw'!$J$19/100)^($C$136-C95))</f>
        <v>973.32776820993217</v>
      </c>
      <c r="S95" s="23">
        <f t="shared" si="17"/>
        <v>12131.035929297226</v>
      </c>
      <c r="T95" s="39">
        <f>((K95/'Arnoud VDAB Pensioenopbouw'!$M$15)/R95)*100</f>
        <v>90.32258064516131</v>
      </c>
    </row>
    <row r="96" spans="3:35" ht="15" thickBot="1" x14ac:dyDescent="0.35">
      <c r="C96" s="16">
        <v>32</v>
      </c>
      <c r="D96" s="17">
        <f>(IF(Blad2!E20&lt;&gt;"",(D95*(1+(('Arnoud VDAB Pensioenopbouw'!$C$19)/100)))*(1+Blad2!E20/100),D95*(1+(('Arnoud VDAB Pensioenopbouw'!$C$19)/100))))*(1+$L$4/100)</f>
        <v>39064.383756115523</v>
      </c>
      <c r="E96" s="17">
        <f>(E95*(1+'Arnoud VDAB Pensioenopbouw'!$G$19/100))*(1+$L$4/100)</f>
        <v>18772.515043114803</v>
      </c>
      <c r="F96" s="17">
        <f t="shared" si="14"/>
        <v>20291.86871300072</v>
      </c>
      <c r="G96" s="18">
        <f>'Arnoud VDAB Pensioenopbouw'!$D$19</f>
        <v>26.25</v>
      </c>
      <c r="H96" s="19">
        <f>F96*('Arnoud VDAB Pensioenopbouw'!$D$19/100)</f>
        <v>5326.6155371626892</v>
      </c>
      <c r="I96" s="20">
        <f>1+'Arnoud VDAB Pensioenopbouw'!$Q$19/100</f>
        <v>1.0269999999999999</v>
      </c>
      <c r="J96" s="21">
        <f>(Blad1!$C$71-C96)+$J$79</f>
        <v>35</v>
      </c>
      <c r="K96" s="22">
        <f>H96*((1+'Arnoud VDAB Pensioenopbouw'!$Q$19/100)^J96)</f>
        <v>13533.710350572379</v>
      </c>
      <c r="L96" s="23">
        <f t="shared" si="15"/>
        <v>183368.21336073353</v>
      </c>
      <c r="M96" s="178"/>
      <c r="N96" s="172">
        <f t="shared" si="13"/>
        <v>1</v>
      </c>
      <c r="P96" s="108">
        <f>$F96*('Arnoud VDAB Pensioenopbouw'!$E$19*((100-(($C96-20)*($V$14)))/100))/100</f>
        <v>380.47253836876348</v>
      </c>
      <c r="Q96" s="106">
        <f t="shared" si="16"/>
        <v>4404.0994568069436</v>
      </c>
      <c r="R96" s="62">
        <f>P96*((1+'Arnoud VDAB Pensioenopbouw'!$J$19/100)^($C$136-C96))</f>
        <v>966.69359646945554</v>
      </c>
      <c r="S96" s="23">
        <f t="shared" si="17"/>
        <v>13097.729525766681</v>
      </c>
      <c r="T96" s="39">
        <f>((K96/'Arnoud VDAB Pensioenopbouw'!$M$15)/R96)*100</f>
        <v>90.322580645161295</v>
      </c>
    </row>
    <row r="97" spans="3:20" ht="15" thickBot="1" x14ac:dyDescent="0.35">
      <c r="C97" s="16">
        <v>33</v>
      </c>
      <c r="D97" s="17">
        <f>(IF(Blad2!E21&lt;&gt;"",(D96*(1+(('Arnoud VDAB Pensioenopbouw'!$C$19)/100)))*(1+Blad2!E21/100),D96*(1+(('Arnoud VDAB Pensioenopbouw'!$C$19)/100))))*(1+$L$4/100)</f>
        <v>39845.671431237832</v>
      </c>
      <c r="E97" s="17">
        <f>(E96*(1+'Arnoud VDAB Pensioenopbouw'!$G$19/100))*(1+$L$4/100)</f>
        <v>19147.965343977099</v>
      </c>
      <c r="F97" s="17">
        <f t="shared" si="14"/>
        <v>20697.706087260733</v>
      </c>
      <c r="G97" s="18">
        <f>'Arnoud VDAB Pensioenopbouw'!$D$19</f>
        <v>26.25</v>
      </c>
      <c r="H97" s="19">
        <f>F97*('Arnoud VDAB Pensioenopbouw'!$D$19/100)</f>
        <v>5433.1478479059424</v>
      </c>
      <c r="I97" s="20">
        <f>1+'Arnoud VDAB Pensioenopbouw'!$Q$19/100</f>
        <v>1.0269999999999999</v>
      </c>
      <c r="J97" s="21">
        <f>(Blad1!$C$71-C97)+$J$79</f>
        <v>34</v>
      </c>
      <c r="K97" s="22">
        <f>H97*((1+'Arnoud VDAB Pensioenopbouw'!$Q$19/100)^J97)</f>
        <v>13441.465002515895</v>
      </c>
      <c r="L97" s="23">
        <f t="shared" si="15"/>
        <v>196809.67836324943</v>
      </c>
      <c r="M97" s="178"/>
      <c r="N97" s="172">
        <f t="shared" si="13"/>
        <v>1</v>
      </c>
      <c r="P97" s="108">
        <f>$F97*('Arnoud VDAB Pensioenopbouw'!$E$19*((100-(($C97-20)*($V$14)))/100))/100</f>
        <v>388.0819891361387</v>
      </c>
      <c r="Q97" s="106">
        <f t="shared" si="16"/>
        <v>4792.1814459430825</v>
      </c>
      <c r="R97" s="62">
        <f>P97*((1+'Arnoud VDAB Pensioenopbouw'!$J$19/100)^($C$136-C97))</f>
        <v>960.10464303684955</v>
      </c>
      <c r="S97" s="23">
        <f t="shared" si="17"/>
        <v>14057.834168803531</v>
      </c>
      <c r="T97" s="39">
        <f>((K97/'Arnoud VDAB Pensioenopbouw'!$M$15)/R97)*100</f>
        <v>90.32258064516131</v>
      </c>
    </row>
    <row r="98" spans="3:20" ht="15" thickBot="1" x14ac:dyDescent="0.35">
      <c r="C98" s="16">
        <v>34</v>
      </c>
      <c r="D98" s="17">
        <f>(IF(Blad2!E22&lt;&gt;"",(D97*(1+(('Arnoud VDAB Pensioenopbouw'!$C$19)/100)))*(1+Blad2!E22/100),D97*(1+(('Arnoud VDAB Pensioenopbouw'!$C$19)/100))))*(1+$L$4/100)</f>
        <v>40642.584859862589</v>
      </c>
      <c r="E98" s="17">
        <f>(E97*(1+'Arnoud VDAB Pensioenopbouw'!$G$19/100))*(1+$L$4/100)</f>
        <v>19530.924650856643</v>
      </c>
      <c r="F98" s="17">
        <f t="shared" si="14"/>
        <v>21111.660209005946</v>
      </c>
      <c r="G98" s="18">
        <f>'Arnoud VDAB Pensioenopbouw'!$D$19</f>
        <v>26.25</v>
      </c>
      <c r="H98" s="19">
        <f>F98*('Arnoud VDAB Pensioenopbouw'!$D$19/100)</f>
        <v>5541.8108048640606</v>
      </c>
      <c r="I98" s="20">
        <f>1+'Arnoud VDAB Pensioenopbouw'!$Q$19/100</f>
        <v>1.0269999999999999</v>
      </c>
      <c r="J98" s="21">
        <f>(Blad1!$C$71-C98)+$J$79</f>
        <v>33</v>
      </c>
      <c r="K98" s="22">
        <f>H98*((1+'Arnoud VDAB Pensioenopbouw'!$Q$19/100)^J98)</f>
        <v>13349.848395877521</v>
      </c>
      <c r="L98" s="23">
        <f t="shared" si="15"/>
        <v>210159.52675912695</v>
      </c>
      <c r="M98" s="178"/>
      <c r="N98" s="172">
        <f t="shared" si="13"/>
        <v>1</v>
      </c>
      <c r="P98" s="108">
        <f>$F98*('Arnoud VDAB Pensioenopbouw'!$E$19*((100-(($C98-20)*($V$14)))/100))/100</f>
        <v>395.8436289188615</v>
      </c>
      <c r="Q98" s="106">
        <f t="shared" si="16"/>
        <v>5188.0250748619437</v>
      </c>
      <c r="R98" s="62">
        <f>P98*((1+'Arnoud VDAB Pensioenopbouw'!$J$19/100)^($C$136-C98))</f>
        <v>953.56059970553724</v>
      </c>
      <c r="S98" s="23">
        <f t="shared" si="17"/>
        <v>15011.394768509068</v>
      </c>
      <c r="T98" s="39">
        <f>((K98/'Arnoud VDAB Pensioenopbouw'!$M$15)/R98)*100</f>
        <v>90.322580645161295</v>
      </c>
    </row>
    <row r="99" spans="3:20" ht="15" thickBot="1" x14ac:dyDescent="0.35">
      <c r="C99" s="16">
        <v>35</v>
      </c>
      <c r="D99" s="17">
        <f>(IF(Blad2!E23&lt;&gt;"",(D98*(1+(('Arnoud VDAB Pensioenopbouw'!$C$19)/100)))*(1+Blad2!E23/100),D98*(1+(('Arnoud VDAB Pensioenopbouw'!$C$19)/100))))*(1+$L$4/100)</f>
        <v>41455.436557059838</v>
      </c>
      <c r="E99" s="17">
        <f>(E98*(1+'Arnoud VDAB Pensioenopbouw'!$G$19/100))*(1+$L$4/100)</f>
        <v>19921.543143873776</v>
      </c>
      <c r="F99" s="17">
        <f t="shared" si="14"/>
        <v>21533.893413186062</v>
      </c>
      <c r="G99" s="18">
        <f>'Arnoud VDAB Pensioenopbouw'!$D$19</f>
        <v>26.25</v>
      </c>
      <c r="H99" s="19">
        <f>F99*('Arnoud VDAB Pensioenopbouw'!$D$19/100)</f>
        <v>5652.6470209613417</v>
      </c>
      <c r="I99" s="20">
        <f>1+'Arnoud VDAB Pensioenopbouw'!$Q$19/100</f>
        <v>1.0269999999999999</v>
      </c>
      <c r="J99" s="21">
        <f>(Blad1!$C$71-C99)+$J$79</f>
        <v>32</v>
      </c>
      <c r="K99" s="22">
        <f>H99*((1+'Arnoud VDAB Pensioenopbouw'!$Q$19/100)^J99)</f>
        <v>13258.856245175337</v>
      </c>
      <c r="L99" s="23">
        <f t="shared" si="15"/>
        <v>223418.38300430228</v>
      </c>
      <c r="M99" s="178"/>
      <c r="N99" s="172">
        <f t="shared" si="13"/>
        <v>1</v>
      </c>
      <c r="P99" s="108">
        <f>$F99*('Arnoud VDAB Pensioenopbouw'!$E$19*((100-(($C99-20)*($V$14)))/100))/100</f>
        <v>403.76050149723864</v>
      </c>
      <c r="Q99" s="106">
        <f t="shared" si="16"/>
        <v>5591.7855763591824</v>
      </c>
      <c r="R99" s="62">
        <f>P99*((1+'Arnoud VDAB Pensioenopbouw'!$J$19/100)^($C$136-C99))</f>
        <v>947.06116036966682</v>
      </c>
      <c r="S99" s="23">
        <f t="shared" si="17"/>
        <v>15958.455928878735</v>
      </c>
      <c r="T99" s="39">
        <f>((K99/'Arnoud VDAB Pensioenopbouw'!$M$15)/R99)*100</f>
        <v>90.322580645161295</v>
      </c>
    </row>
    <row r="100" spans="3:20" ht="15" thickBot="1" x14ac:dyDescent="0.35">
      <c r="C100" s="16">
        <v>36</v>
      </c>
      <c r="D100" s="17">
        <f>(IF(Blad2!E24&lt;&gt;"",(D99*(1+(('Arnoud VDAB Pensioenopbouw'!$C$19)/100)))*(1+Blad2!E24/100),D99*(1+(('Arnoud VDAB Pensioenopbouw'!$C$19)/100))))*(1+$L$4/100)</f>
        <v>42284.545288201036</v>
      </c>
      <c r="E100" s="17">
        <f>(E99*(1+'Arnoud VDAB Pensioenopbouw'!$G$19/100))*(1+$L$4/100)</f>
        <v>20319.97400675125</v>
      </c>
      <c r="F100" s="17">
        <f t="shared" si="14"/>
        <v>21964.571281449786</v>
      </c>
      <c r="G100" s="18">
        <f>'Arnoud VDAB Pensioenopbouw'!$D$19</f>
        <v>26.25</v>
      </c>
      <c r="H100" s="19">
        <f>F100*('Arnoud VDAB Pensioenopbouw'!$D$19/100)</f>
        <v>5765.6999613805692</v>
      </c>
      <c r="I100" s="20">
        <f>1+'Arnoud VDAB Pensioenopbouw'!$Q$19/100</f>
        <v>1.0269999999999999</v>
      </c>
      <c r="J100" s="21">
        <f>(Blad1!$C$71-C100)+$J$79</f>
        <v>31</v>
      </c>
      <c r="K100" s="22">
        <f>H100*((1+'Arnoud VDAB Pensioenopbouw'!$Q$19/100)^J100)</f>
        <v>13168.484294137146</v>
      </c>
      <c r="L100" s="23">
        <f t="shared" si="15"/>
        <v>236586.86729843944</v>
      </c>
      <c r="M100" s="178"/>
      <c r="N100" s="172">
        <f t="shared" si="13"/>
        <v>1</v>
      </c>
      <c r="P100" s="108">
        <f>$F100*('Arnoud VDAB Pensioenopbouw'!$E$19*((100-(($C100-20)*($V$14)))/100))/100</f>
        <v>411.83571152718343</v>
      </c>
      <c r="Q100" s="106">
        <f t="shared" si="16"/>
        <v>6003.6212878863662</v>
      </c>
      <c r="R100" s="62">
        <f>P100*((1+'Arnoud VDAB Pensioenopbouw'!$J$19/100)^($C$136-C100))</f>
        <v>940.60602100979588</v>
      </c>
      <c r="S100" s="23">
        <f t="shared" si="17"/>
        <v>16899.061949888532</v>
      </c>
      <c r="T100" s="39">
        <f>((K100/'Arnoud VDAB Pensioenopbouw'!$M$15)/R100)*100</f>
        <v>90.322580645161324</v>
      </c>
    </row>
    <row r="101" spans="3:20" ht="15" thickBot="1" x14ac:dyDescent="0.35">
      <c r="C101" s="16">
        <v>37</v>
      </c>
      <c r="D101" s="17">
        <f>(IF(Blad2!E25&lt;&gt;"",(D100*(1+(('Arnoud VDAB Pensioenopbouw'!$C$19)/100)))*(1+Blad2!E25/100),D100*(1+(('Arnoud VDAB Pensioenopbouw'!$C$19)/100))))*(1+$L$4/100)</f>
        <v>43130.236193965058</v>
      </c>
      <c r="E101" s="17">
        <f>(E100*(1+'Arnoud VDAB Pensioenopbouw'!$G$19/100))*(1+$L$4/100)</f>
        <v>20726.373486886274</v>
      </c>
      <c r="F101" s="17">
        <f t="shared" si="14"/>
        <v>22403.862707078784</v>
      </c>
      <c r="G101" s="18">
        <f>'Arnoud VDAB Pensioenopbouw'!$D$19</f>
        <v>26.25</v>
      </c>
      <c r="H101" s="19">
        <f>F101*('Arnoud VDAB Pensioenopbouw'!$D$19/100)</f>
        <v>5881.0139606081812</v>
      </c>
      <c r="I101" s="20">
        <f>1+'Arnoud VDAB Pensioenopbouw'!$Q$19/100</f>
        <v>1.0269999999999999</v>
      </c>
      <c r="J101" s="21">
        <f>(Blad1!$C$71-C101)+$J$79</f>
        <v>30</v>
      </c>
      <c r="K101" s="22">
        <f>H101*((1+'Arnoud VDAB Pensioenopbouw'!$Q$19/100)^J101)</f>
        <v>13078.728315501352</v>
      </c>
      <c r="L101" s="23">
        <f t="shared" si="15"/>
        <v>249665.59561394079</v>
      </c>
      <c r="M101" s="178"/>
      <c r="N101" s="172">
        <f t="shared" si="13"/>
        <v>1</v>
      </c>
      <c r="P101" s="108">
        <f>$F101*('Arnoud VDAB Pensioenopbouw'!$E$19*((100-(($C101-20)*($V$14)))/100))/100</f>
        <v>420.07242575772716</v>
      </c>
      <c r="Q101" s="106">
        <f t="shared" si="16"/>
        <v>6423.6937136440938</v>
      </c>
      <c r="R101" s="62">
        <f>P101*((1+'Arnoud VDAB Pensioenopbouw'!$J$19/100)^($C$136-C101))</f>
        <v>934.19487967866792</v>
      </c>
      <c r="S101" s="23">
        <f t="shared" si="17"/>
        <v>17833.256829567199</v>
      </c>
      <c r="T101" s="39">
        <f>((K101/'Arnoud VDAB Pensioenopbouw'!$M$15)/R101)*100</f>
        <v>90.322580645161281</v>
      </c>
    </row>
    <row r="102" spans="3:20" ht="15" thickBot="1" x14ac:dyDescent="0.35">
      <c r="C102" s="16">
        <v>38</v>
      </c>
      <c r="D102" s="17">
        <f>(IF(Blad2!E26&lt;&gt;"",(D101*(1+(('Arnoud VDAB Pensioenopbouw'!$C$19)/100)))*(1+Blad2!E26/100),D101*(1+(('Arnoud VDAB Pensioenopbouw'!$C$19)/100))))*(1+$L$4/100)</f>
        <v>43992.840917844362</v>
      </c>
      <c r="E102" s="17">
        <f>(E101*(1+'Arnoud VDAB Pensioenopbouw'!$G$19/100))*(1+$L$4/100)</f>
        <v>21140.900956623998</v>
      </c>
      <c r="F102" s="17">
        <f t="shared" si="14"/>
        <v>22851.939961220363</v>
      </c>
      <c r="G102" s="18">
        <f>'Arnoud VDAB Pensioenopbouw'!$D$19</f>
        <v>26.25</v>
      </c>
      <c r="H102" s="19">
        <f>F102*('Arnoud VDAB Pensioenopbouw'!$D$19/100)</f>
        <v>5998.634239820346</v>
      </c>
      <c r="I102" s="20">
        <f>1+'Arnoud VDAB Pensioenopbouw'!$Q$19/100</f>
        <v>1.0269999999999999</v>
      </c>
      <c r="J102" s="21">
        <f>(Blad1!$C$71-C102)+$J$79</f>
        <v>29</v>
      </c>
      <c r="K102" s="22">
        <f>H102*((1+'Arnoud VDAB Pensioenopbouw'!$Q$19/100)^J102)</f>
        <v>12989.584110819264</v>
      </c>
      <c r="L102" s="23">
        <f t="shared" si="15"/>
        <v>262655.17972476006</v>
      </c>
      <c r="M102" s="178"/>
      <c r="N102" s="172">
        <f t="shared" si="13"/>
        <v>1</v>
      </c>
      <c r="P102" s="108">
        <f>$F102*('Arnoud VDAB Pensioenopbouw'!$E$19*((100-(($C102-20)*($V$14)))/100))/100</f>
        <v>428.4738742728818</v>
      </c>
      <c r="Q102" s="106">
        <f t="shared" si="16"/>
        <v>6852.1675879169752</v>
      </c>
      <c r="R102" s="62">
        <f>P102*((1+'Arnoud VDAB Pensioenopbouw'!$J$19/100)^($C$136-C102))</f>
        <v>927.82743648709015</v>
      </c>
      <c r="S102" s="23">
        <f t="shared" si="17"/>
        <v>18761.084266054288</v>
      </c>
      <c r="T102" s="39">
        <f>((K102/'Arnoud VDAB Pensioenopbouw'!$M$15)/R102)*100</f>
        <v>90.32258064516131</v>
      </c>
    </row>
    <row r="103" spans="3:20" ht="15" thickBot="1" x14ac:dyDescent="0.35">
      <c r="C103" s="16">
        <v>39</v>
      </c>
      <c r="D103" s="17">
        <f>(IF(Blad2!E27&lt;&gt;"",(D102*(1+(('Arnoud VDAB Pensioenopbouw'!$C$19)/100)))*(1+Blad2!E27/100),D102*(1+(('Arnoud VDAB Pensioenopbouw'!$C$19)/100))))*(1+$L$4/100)</f>
        <v>44872.697736201248</v>
      </c>
      <c r="E103" s="17">
        <f>(E102*(1+'Arnoud VDAB Pensioenopbouw'!$G$19/100))*(1+$L$4/100)</f>
        <v>21563.718975756477</v>
      </c>
      <c r="F103" s="17">
        <f t="shared" si="14"/>
        <v>23308.97876044477</v>
      </c>
      <c r="G103" s="18">
        <f>'Arnoud VDAB Pensioenopbouw'!$D$19</f>
        <v>26.25</v>
      </c>
      <c r="H103" s="19">
        <f>F103*('Arnoud VDAB Pensioenopbouw'!$D$19/100)</f>
        <v>6118.6069246167526</v>
      </c>
      <c r="I103" s="20">
        <f>1+'Arnoud VDAB Pensioenopbouw'!$Q$19/100</f>
        <v>1.0269999999999999</v>
      </c>
      <c r="J103" s="21">
        <f>(Blad1!$C$71-C103)+$J$79</f>
        <v>28</v>
      </c>
      <c r="K103" s="22">
        <f>H103*((1+'Arnoud VDAB Pensioenopbouw'!$Q$19/100)^J103)</f>
        <v>12901.047510258666</v>
      </c>
      <c r="L103" s="23">
        <f t="shared" si="15"/>
        <v>275556.22723501874</v>
      </c>
      <c r="M103" s="178"/>
      <c r="N103" s="172">
        <f t="shared" si="13"/>
        <v>1</v>
      </c>
      <c r="P103" s="108">
        <f>$F103*('Arnoud VDAB Pensioenopbouw'!$E$19*((100-(($C103-20)*($V$14)))/100))/100</f>
        <v>437.04335175833944</v>
      </c>
      <c r="Q103" s="106">
        <f t="shared" si="16"/>
        <v>7289.2109396753149</v>
      </c>
      <c r="R103" s="62">
        <f>P103*((1+'Arnoud VDAB Pensioenopbouw'!$J$19/100)^($C$136-C103))</f>
        <v>921.5033935899047</v>
      </c>
      <c r="S103" s="23">
        <f t="shared" si="17"/>
        <v>19682.587659644192</v>
      </c>
      <c r="T103" s="39">
        <f>((K103/'Arnoud VDAB Pensioenopbouw'!$M$15)/R103)*100</f>
        <v>90.322580645161295</v>
      </c>
    </row>
    <row r="104" spans="3:20" ht="15" thickBot="1" x14ac:dyDescent="0.35">
      <c r="C104" s="43">
        <v>40</v>
      </c>
      <c r="D104" s="17">
        <f>(IF(Blad2!E28&lt;&gt;"",(D103*(1+(('Arnoud VDAB Pensioenopbouw'!$C$19)/100)))*(1+Blad2!E28/100),D103*(1+(('Arnoud VDAB Pensioenopbouw'!$C$19)/100))))*(1+$L$4/100)</f>
        <v>45770.151690925275</v>
      </c>
      <c r="E104" s="17">
        <f>(E103*(1+'Arnoud VDAB Pensioenopbouw'!$G$19/100))*(1+$L$4/100)</f>
        <v>21994.993355271607</v>
      </c>
      <c r="F104" s="44">
        <f t="shared" si="14"/>
        <v>23775.158335653668</v>
      </c>
      <c r="G104" s="45">
        <f>'Arnoud VDAB Pensioenopbouw'!$D$19</f>
        <v>26.25</v>
      </c>
      <c r="H104" s="46">
        <f>F104*('Arnoud VDAB Pensioenopbouw'!$D$19/100)</f>
        <v>6240.9790631090882</v>
      </c>
      <c r="I104" s="47">
        <f>1+'Arnoud VDAB Pensioenopbouw'!$Q$19/100</f>
        <v>1.0269999999999999</v>
      </c>
      <c r="J104" s="48">
        <f>(Blad1!$C$71-C104)+$J$79</f>
        <v>27</v>
      </c>
      <c r="K104" s="42">
        <f>H104*((1+'Arnoud VDAB Pensioenopbouw'!$Q$19/100)^J104)</f>
        <v>12813.114372408803</v>
      </c>
      <c r="L104" s="49">
        <f t="shared" si="15"/>
        <v>288369.34160742757</v>
      </c>
      <c r="M104" s="172"/>
      <c r="N104" s="172">
        <f t="shared" si="13"/>
        <v>1</v>
      </c>
      <c r="P104" s="108">
        <f>$F104*('Arnoud VDAB Pensioenopbouw'!$E$19*((100-(($C104-20)*($V$14)))/100))/100</f>
        <v>445.78421879350628</v>
      </c>
      <c r="Q104" s="105">
        <f t="shared" si="16"/>
        <v>7734.9951584688215</v>
      </c>
      <c r="R104" s="52">
        <f>P104*((1+'Arnoud VDAB Pensioenopbouw'!$J$19/100)^($C$136-C104))</f>
        <v>915.22245517205738</v>
      </c>
      <c r="S104" s="49">
        <f t="shared" si="17"/>
        <v>20597.81011481625</v>
      </c>
      <c r="T104" s="51">
        <f>((K104/'Arnoud VDAB Pensioenopbouw'!$M$15)/R104)*100</f>
        <v>90.322580645161281</v>
      </c>
    </row>
    <row r="105" spans="3:20" ht="15" thickBot="1" x14ac:dyDescent="0.35">
      <c r="C105" s="16">
        <v>41</v>
      </c>
      <c r="D105" s="17">
        <f>(IF(Blad2!E29&lt;&gt;"",(D104*(1+(('Arnoud VDAB Pensioenopbouw'!$C$19)/100)))*(1+Blad2!E29/100),D104*(1+(('Arnoud VDAB Pensioenopbouw'!$C$19)/100))))*(1+$L$4/100)</f>
        <v>46685.554724743779</v>
      </c>
      <c r="E105" s="17">
        <f>(E104*(1+'Arnoud VDAB Pensioenopbouw'!$G$19/100))*(1+$L$4/100)</f>
        <v>22434.893222377039</v>
      </c>
      <c r="F105" s="17">
        <f t="shared" si="14"/>
        <v>24250.66150236674</v>
      </c>
      <c r="G105" s="18">
        <f>'Arnoud VDAB Pensioenopbouw'!$D$19</f>
        <v>26.25</v>
      </c>
      <c r="H105" s="19">
        <f>F105*('Arnoud VDAB Pensioenopbouw'!$D$19/100)</f>
        <v>6365.7986443712698</v>
      </c>
      <c r="I105" s="20">
        <f>1+'Arnoud VDAB Pensioenopbouw'!$Q$19/100</f>
        <v>1.0269999999999999</v>
      </c>
      <c r="J105" s="21">
        <f>(Blad1!$C$71-C105)+$J$79</f>
        <v>26</v>
      </c>
      <c r="K105" s="22">
        <f>H105*((1+'Arnoud VDAB Pensioenopbouw'!$Q$19/100)^J105)</f>
        <v>12725.780584086642</v>
      </c>
      <c r="L105" s="23">
        <f t="shared" si="15"/>
        <v>301095.12219151424</v>
      </c>
      <c r="M105" s="178"/>
      <c r="N105" s="172">
        <f t="shared" si="13"/>
        <v>1</v>
      </c>
      <c r="P105" s="108">
        <f>$F105*('Arnoud VDAB Pensioenopbouw'!$E$19*((100-(($C105-20)*($V$14)))/100))/100</f>
        <v>454.69990316937634</v>
      </c>
      <c r="Q105" s="106">
        <f t="shared" si="16"/>
        <v>8189.6950616381982</v>
      </c>
      <c r="R105" s="62">
        <f>P105*((1+'Arnoud VDAB Pensioenopbouw'!$J$19/100)^($C$136-C105))</f>
        <v>908.98432743475996</v>
      </c>
      <c r="S105" s="23">
        <f t="shared" si="17"/>
        <v>21506.794442251008</v>
      </c>
      <c r="T105" s="39">
        <f>((K105/'Arnoud VDAB Pensioenopbouw'!$M$15)/R105)*100</f>
        <v>90.32258064516131</v>
      </c>
    </row>
    <row r="106" spans="3:20" ht="15" thickBot="1" x14ac:dyDescent="0.35">
      <c r="C106" s="16">
        <v>42</v>
      </c>
      <c r="D106" s="17">
        <f>(IF(Blad2!E30&lt;&gt;"",(D105*(1+(('Arnoud VDAB Pensioenopbouw'!$C$19)/100)))*(1+Blad2!E30/100),D105*(1+(('Arnoud VDAB Pensioenopbouw'!$C$19)/100))))*(1+$L$4/100)</f>
        <v>47619.265819238659</v>
      </c>
      <c r="E106" s="17">
        <f>(E105*(1+'Arnoud VDAB Pensioenopbouw'!$G$19/100))*(1+$L$4/100)</f>
        <v>22883.591086824581</v>
      </c>
      <c r="F106" s="17">
        <f t="shared" si="14"/>
        <v>24735.674732414078</v>
      </c>
      <c r="G106" s="18">
        <f>'Arnoud VDAB Pensioenopbouw'!$D$19</f>
        <v>26.25</v>
      </c>
      <c r="H106" s="19">
        <f>F106*('Arnoud VDAB Pensioenopbouw'!$D$19/100)</f>
        <v>6493.1146172586959</v>
      </c>
      <c r="I106" s="20">
        <f>1+'Arnoud VDAB Pensioenopbouw'!$Q$19/100</f>
        <v>1.0269999999999999</v>
      </c>
      <c r="J106" s="21">
        <f>(Blad1!$C$71-C106)+$J$79</f>
        <v>25</v>
      </c>
      <c r="K106" s="22">
        <f>H106*((1+'Arnoud VDAB Pensioenopbouw'!$Q$19/100)^J106)</f>
        <v>12639.042060144475</v>
      </c>
      <c r="L106" s="23">
        <f t="shared" si="15"/>
        <v>313734.16425165872</v>
      </c>
      <c r="M106" s="178"/>
      <c r="N106" s="172">
        <f t="shared" si="13"/>
        <v>1</v>
      </c>
      <c r="P106" s="108">
        <f>$F106*('Arnoud VDAB Pensioenopbouw'!$E$19*((100-(($C106-20)*($V$14)))/100))/100</f>
        <v>463.79390123276397</v>
      </c>
      <c r="Q106" s="106">
        <f t="shared" si="16"/>
        <v>8653.4889628709625</v>
      </c>
      <c r="R106" s="62">
        <f>P106*((1+'Arnoud VDAB Pensioenopbouw'!$J$19/100)^($C$136-C106))</f>
        <v>902.78871858174818</v>
      </c>
      <c r="S106" s="23">
        <f t="shared" si="17"/>
        <v>22409.583160832757</v>
      </c>
      <c r="T106" s="39">
        <f>((K106/'Arnoud VDAB Pensioenopbouw'!$M$15)/R106)*100</f>
        <v>90.322580645161295</v>
      </c>
    </row>
    <row r="107" spans="3:20" ht="15" thickBot="1" x14ac:dyDescent="0.35">
      <c r="C107" s="16">
        <v>43</v>
      </c>
      <c r="D107" s="17">
        <f>(IF(Blad2!E31&lt;&gt;"",(D106*(1+(('Arnoud VDAB Pensioenopbouw'!$C$19)/100)))*(1+Blad2!E31/100),D106*(1+(('Arnoud VDAB Pensioenopbouw'!$C$19)/100))))*(1+$L$4/100)</f>
        <v>48571.651135623433</v>
      </c>
      <c r="E107" s="17">
        <f>(E106*(1+'Arnoud VDAB Pensioenopbouw'!$G$19/100))*(1+$L$4/100)</f>
        <v>23341.262908561072</v>
      </c>
      <c r="F107" s="17">
        <f t="shared" si="14"/>
        <v>25230.388227062362</v>
      </c>
      <c r="G107" s="18">
        <f>'Arnoud VDAB Pensioenopbouw'!$D$19</f>
        <v>26.25</v>
      </c>
      <c r="H107" s="19">
        <f>F107*('Arnoud VDAB Pensioenopbouw'!$D$19/100)</f>
        <v>6622.9769096038699</v>
      </c>
      <c r="I107" s="20">
        <f>1+'Arnoud VDAB Pensioenopbouw'!$Q$19/100</f>
        <v>1.0269999999999999</v>
      </c>
      <c r="J107" s="21">
        <f>(Blad1!$C$71-C107)+$J$79</f>
        <v>24</v>
      </c>
      <c r="K107" s="22">
        <f>H107*((1+'Arnoud VDAB Pensioenopbouw'!$Q$19/100)^J107)</f>
        <v>12552.894743278837</v>
      </c>
      <c r="L107" s="23">
        <f t="shared" si="15"/>
        <v>326287.05899493757</v>
      </c>
      <c r="M107" s="178"/>
      <c r="N107" s="172">
        <f t="shared" si="13"/>
        <v>1</v>
      </c>
      <c r="P107" s="108">
        <f>$F107*('Arnoud VDAB Pensioenopbouw'!$E$19*((100-(($C107-20)*($V$14)))/100))/100</f>
        <v>473.06977925741927</v>
      </c>
      <c r="Q107" s="106">
        <f t="shared" si="16"/>
        <v>9126.5587421283817</v>
      </c>
      <c r="R107" s="62">
        <f>P107*((1+'Arnoud VDAB Pensioenopbouw'!$J$19/100)^($C$136-C107))</f>
        <v>896.63533880563125</v>
      </c>
      <c r="S107" s="23">
        <f t="shared" si="17"/>
        <v>23306.218499638388</v>
      </c>
      <c r="T107" s="39">
        <f>((K107/'Arnoud VDAB Pensioenopbouw'!$M$15)/R107)*100</f>
        <v>90.322580645161281</v>
      </c>
    </row>
    <row r="108" spans="3:20" ht="15" thickBot="1" x14ac:dyDescent="0.35">
      <c r="C108" s="16">
        <v>44</v>
      </c>
      <c r="D108" s="17">
        <f>(IF(Blad2!E32&lt;&gt;"",(D107*(1+(('Arnoud VDAB Pensioenopbouw'!$C$19)/100)))*(1+Blad2!E32/100),D107*(1+(('Arnoud VDAB Pensioenopbouw'!$C$19)/100))))*(1+$L$4/100)</f>
        <v>49543.0841583359</v>
      </c>
      <c r="E108" s="17">
        <f>(E107*(1+'Arnoud VDAB Pensioenopbouw'!$G$19/100))*(1+$L$4/100)</f>
        <v>23808.088166732294</v>
      </c>
      <c r="F108" s="17">
        <f t="shared" si="14"/>
        <v>25734.995991603606</v>
      </c>
      <c r="G108" s="18">
        <f>'Arnoud VDAB Pensioenopbouw'!$D$19</f>
        <v>26.25</v>
      </c>
      <c r="H108" s="19">
        <f>F108*('Arnoud VDAB Pensioenopbouw'!$D$19/100)</f>
        <v>6755.4364477959471</v>
      </c>
      <c r="I108" s="20">
        <f>1+'Arnoud VDAB Pensioenopbouw'!$Q$19/100</f>
        <v>1.0269999999999999</v>
      </c>
      <c r="J108" s="21">
        <f>(Blad1!$C$71-C108)+$J$79</f>
        <v>23</v>
      </c>
      <c r="K108" s="22">
        <f>H108*((1+'Arnoud VDAB Pensioenopbouw'!$Q$19/100)^J108)</f>
        <v>12467.334603840716</v>
      </c>
      <c r="L108" s="23">
        <f t="shared" si="15"/>
        <v>338754.39359877829</v>
      </c>
      <c r="M108" s="178"/>
      <c r="N108" s="172">
        <f t="shared" si="13"/>
        <v>1</v>
      </c>
      <c r="P108" s="108">
        <f>$F108*('Arnoud VDAB Pensioenopbouw'!$E$19*((100-(($C108-20)*($V$14)))/100))/100</f>
        <v>482.53117484256762</v>
      </c>
      <c r="Q108" s="106">
        <f t="shared" si="16"/>
        <v>9609.0899169709501</v>
      </c>
      <c r="R108" s="62">
        <f>P108*((1+'Arnoud VDAB Pensioenopbouw'!$J$19/100)^($C$136-C108))</f>
        <v>890.52390027433682</v>
      </c>
      <c r="S108" s="23">
        <f t="shared" si="17"/>
        <v>24196.742399912724</v>
      </c>
      <c r="T108" s="39">
        <f>((K108/'Arnoud VDAB Pensioenopbouw'!$M$15)/R108)*100</f>
        <v>90.322580645161281</v>
      </c>
    </row>
    <row r="109" spans="3:20" ht="15" thickBot="1" x14ac:dyDescent="0.35">
      <c r="C109" s="16">
        <v>45</v>
      </c>
      <c r="D109" s="17">
        <f>(IF(Blad2!E33&lt;&gt;"",(D108*(1+(('Arnoud VDAB Pensioenopbouw'!$C$19)/100)))*(1+Blad2!E33/100),D108*(1+(('Arnoud VDAB Pensioenopbouw'!$C$19)/100))))*(1+$L$4/100)</f>
        <v>50533.945841502617</v>
      </c>
      <c r="E109" s="17">
        <f>(E108*(1+'Arnoud VDAB Pensioenopbouw'!$G$19/100))*(1+$L$4/100)</f>
        <v>24284.249930066941</v>
      </c>
      <c r="F109" s="17">
        <f t="shared" si="14"/>
        <v>26249.695911435676</v>
      </c>
      <c r="G109" s="18">
        <f>'Arnoud VDAB Pensioenopbouw'!$D$19</f>
        <v>26.25</v>
      </c>
      <c r="H109" s="19">
        <f>F109*('Arnoud VDAB Pensioenopbouw'!$D$19/100)</f>
        <v>6890.5451767518653</v>
      </c>
      <c r="I109" s="20">
        <f>1+'Arnoud VDAB Pensioenopbouw'!$Q$19/100</f>
        <v>1.0269999999999999</v>
      </c>
      <c r="J109" s="21">
        <f>(Blad1!$C$71-C109)+$J$79</f>
        <v>22</v>
      </c>
      <c r="K109" s="22">
        <f>H109*((1+'Arnoud VDAB Pensioenopbouw'!$Q$19/100)^J109)</f>
        <v>12382.35763964706</v>
      </c>
      <c r="L109" s="23">
        <f t="shared" si="15"/>
        <v>351136.75123842538</v>
      </c>
      <c r="M109" s="178"/>
      <c r="N109" s="172">
        <f t="shared" si="13"/>
        <v>1</v>
      </c>
      <c r="P109" s="108">
        <f>$F109*('Arnoud VDAB Pensioenopbouw'!$E$19*((100-(($C109-20)*($V$14)))/100))/100</f>
        <v>492.18179833941889</v>
      </c>
      <c r="Q109" s="106">
        <f t="shared" si="16"/>
        <v>10101.271715310369</v>
      </c>
      <c r="R109" s="62">
        <f>P109*((1+'Arnoud VDAB Pensioenopbouw'!$J$19/100)^($C$136-C109))</f>
        <v>884.454117117647</v>
      </c>
      <c r="S109" s="23">
        <f t="shared" si="17"/>
        <v>25081.19651703037</v>
      </c>
      <c r="T109" s="39">
        <f>((K109/'Arnoud VDAB Pensioenopbouw'!$M$15)/R109)*100</f>
        <v>90.322580645161295</v>
      </c>
    </row>
    <row r="110" spans="3:20" ht="15" thickBot="1" x14ac:dyDescent="0.35">
      <c r="C110" s="16">
        <v>46</v>
      </c>
      <c r="D110" s="17">
        <f>(IF(Blad2!E34&lt;&gt;"",(D109*(1+(('Arnoud VDAB Pensioenopbouw'!$C$19)/100)))*(1+Blad2!E34/100),D109*(1+(('Arnoud VDAB Pensioenopbouw'!$C$19)/100))))*(1+$L$4/100)</f>
        <v>51544.624758332669</v>
      </c>
      <c r="E110" s="17">
        <f>(E109*(1+'Arnoud VDAB Pensioenopbouw'!$G$19/100))*(1+$L$4/100)</f>
        <v>24769.934928668281</v>
      </c>
      <c r="F110" s="17">
        <f t="shared" si="14"/>
        <v>26774.689829664389</v>
      </c>
      <c r="G110" s="18">
        <f>'Arnoud VDAB Pensioenopbouw'!$D$19</f>
        <v>26.25</v>
      </c>
      <c r="H110" s="19">
        <f>F110*('Arnoud VDAB Pensioenopbouw'!$D$19/100)</f>
        <v>7028.3560802869024</v>
      </c>
      <c r="I110" s="20">
        <f>1+'Arnoud VDAB Pensioenopbouw'!$Q$19/100</f>
        <v>1.0269999999999999</v>
      </c>
      <c r="J110" s="21">
        <f>(Blad1!$C$71-C110)+$J$79</f>
        <v>21</v>
      </c>
      <c r="K110" s="22">
        <f>H110*((1+'Arnoud VDAB Pensioenopbouw'!$Q$19/100)^J110)</f>
        <v>12297.959875793576</v>
      </c>
      <c r="L110" s="23">
        <f t="shared" si="15"/>
        <v>363434.71111421898</v>
      </c>
      <c r="M110" s="178"/>
      <c r="N110" s="172">
        <f t="shared" si="13"/>
        <v>1</v>
      </c>
      <c r="P110" s="108">
        <f>$F110*('Arnoud VDAB Pensioenopbouw'!$E$19*((100-(($C110-20)*($V$14)))/100))/100</f>
        <v>502.02543430620733</v>
      </c>
      <c r="Q110" s="106">
        <f t="shared" si="16"/>
        <v>10603.297149616577</v>
      </c>
      <c r="R110" s="62">
        <f>P110*((1+'Arnoud VDAB Pensioenopbouw'!$J$19/100)^($C$136-C110))</f>
        <v>878.4257054138269</v>
      </c>
      <c r="S110" s="23">
        <f t="shared" si="17"/>
        <v>25959.622222444195</v>
      </c>
      <c r="T110" s="39">
        <f>((K110/'Arnoud VDAB Pensioenopbouw'!$M$15)/R110)*100</f>
        <v>90.322580645161281</v>
      </c>
    </row>
    <row r="111" spans="3:20" ht="15" thickBot="1" x14ac:dyDescent="0.35">
      <c r="C111" s="16">
        <v>47</v>
      </c>
      <c r="D111" s="17">
        <f>(IF(Blad2!E35&lt;&gt;"",(D110*(1+(('Arnoud VDAB Pensioenopbouw'!$C$19)/100)))*(1+Blad2!E35/100),D110*(1+(('Arnoud VDAB Pensioenopbouw'!$C$19)/100))))*(1+$L$4/100)</f>
        <v>52575.517253499325</v>
      </c>
      <c r="E111" s="17">
        <f>(E110*(1+'Arnoud VDAB Pensioenopbouw'!$G$19/100))*(1+$L$4/100)</f>
        <v>25265.333627241645</v>
      </c>
      <c r="F111" s="17">
        <f t="shared" si="14"/>
        <v>27310.18362625768</v>
      </c>
      <c r="G111" s="18">
        <f>'Arnoud VDAB Pensioenopbouw'!$D$19</f>
        <v>26.25</v>
      </c>
      <c r="H111" s="19">
        <f>F111*('Arnoud VDAB Pensioenopbouw'!$D$19/100)</f>
        <v>7168.9232018926414</v>
      </c>
      <c r="I111" s="20">
        <f>1+'Arnoud VDAB Pensioenopbouw'!$Q$19/100</f>
        <v>1.0269999999999999</v>
      </c>
      <c r="J111" s="21">
        <f>(Blad1!$C$71-C111)+$J$79</f>
        <v>20</v>
      </c>
      <c r="K111" s="22">
        <f>H111*((1+'Arnoud VDAB Pensioenopbouw'!$Q$19/100)^J111)</f>
        <v>12214.137364468792</v>
      </c>
      <c r="L111" s="23">
        <f t="shared" si="15"/>
        <v>375648.84847868775</v>
      </c>
      <c r="M111" s="178"/>
      <c r="N111" s="172">
        <f t="shared" si="13"/>
        <v>1</v>
      </c>
      <c r="P111" s="108">
        <f>$F111*('Arnoud VDAB Pensioenopbouw'!$E$19*((100-(($C111-20)*($V$14)))/100))/100</f>
        <v>512.06594299233143</v>
      </c>
      <c r="Q111" s="106">
        <f t="shared" si="16"/>
        <v>11115.363092608908</v>
      </c>
      <c r="R111" s="62">
        <f>P111*((1+'Arnoud VDAB Pensioenopbouw'!$J$19/100)^($C$136-C111))</f>
        <v>872.43838317634209</v>
      </c>
      <c r="S111" s="23">
        <f t="shared" si="17"/>
        <v>26832.060605620536</v>
      </c>
      <c r="T111" s="39">
        <f>((K111/'Arnoud VDAB Pensioenopbouw'!$M$15)/R111)*100</f>
        <v>90.32258064516131</v>
      </c>
    </row>
    <row r="112" spans="3:20" ht="15" thickBot="1" x14ac:dyDescent="0.35">
      <c r="C112" s="16">
        <v>48</v>
      </c>
      <c r="D112" s="17">
        <f>(IF(Blad2!E36&lt;&gt;"",(D111*(1+(('Arnoud VDAB Pensioenopbouw'!$C$19)/100)))*(1+Blad2!E36/100),D111*(1+(('Arnoud VDAB Pensioenopbouw'!$C$19)/100))))*(1+$L$4/100)</f>
        <v>53627.027598569315</v>
      </c>
      <c r="E112" s="17">
        <f>(E111*(1+'Arnoud VDAB Pensioenopbouw'!$G$19/100))*(1+$L$4/100)</f>
        <v>25770.640299786479</v>
      </c>
      <c r="F112" s="17">
        <f t="shared" si="14"/>
        <v>27856.387298782836</v>
      </c>
      <c r="G112" s="18">
        <f>'Arnoud VDAB Pensioenopbouw'!$D$19</f>
        <v>26.25</v>
      </c>
      <c r="H112" s="19">
        <f>F112*('Arnoud VDAB Pensioenopbouw'!$D$19/100)</f>
        <v>7312.3016659304949</v>
      </c>
      <c r="I112" s="20">
        <f>1+'Arnoud VDAB Pensioenopbouw'!$Q$19/100</f>
        <v>1.0269999999999999</v>
      </c>
      <c r="J112" s="21">
        <f>(Blad1!$C$71-C112)+$J$79</f>
        <v>19</v>
      </c>
      <c r="K112" s="22">
        <f>H112*((1+'Arnoud VDAB Pensioenopbouw'!$Q$19/100)^J112)</f>
        <v>12130.886184769399</v>
      </c>
      <c r="L112" s="23">
        <f t="shared" si="15"/>
        <v>387779.73466345714</v>
      </c>
      <c r="M112" s="178"/>
      <c r="N112" s="172">
        <f t="shared" si="13"/>
        <v>1</v>
      </c>
      <c r="P112" s="108">
        <f>$F112*('Arnoud VDAB Pensioenopbouw'!$E$19*((100-(($C112-20)*($V$14)))/100))/100</f>
        <v>522.30726185217816</v>
      </c>
      <c r="Q112" s="106">
        <f t="shared" si="16"/>
        <v>11637.670354461086</v>
      </c>
      <c r="R112" s="62">
        <f>P112*((1+'Arnoud VDAB Pensioenopbouw'!$J$19/100)^($C$136-C112))</f>
        <v>866.4918703406712</v>
      </c>
      <c r="S112" s="23">
        <f t="shared" si="17"/>
        <v>27698.552475961209</v>
      </c>
      <c r="T112" s="39">
        <f>((K112/'Arnoud VDAB Pensioenopbouw'!$M$15)/R112)*100</f>
        <v>90.32258064516131</v>
      </c>
    </row>
    <row r="113" spans="3:20" ht="15" thickBot="1" x14ac:dyDescent="0.35">
      <c r="C113" s="16">
        <v>49</v>
      </c>
      <c r="D113" s="17">
        <f>(IF(Blad2!E37&lt;&gt;"",(D112*(1+(('Arnoud VDAB Pensioenopbouw'!$C$19)/100)))*(1+Blad2!E37/100),D112*(1+(('Arnoud VDAB Pensioenopbouw'!$C$19)/100))))*(1+$L$4/100)</f>
        <v>54699.568150540705</v>
      </c>
      <c r="E113" s="17">
        <f>(E112*(1+'Arnoud VDAB Pensioenopbouw'!$G$19/100))*(1+$L$4/100)</f>
        <v>26286.053105782208</v>
      </c>
      <c r="F113" s="17">
        <f t="shared" si="14"/>
        <v>28413.515044758497</v>
      </c>
      <c r="G113" s="18">
        <f>'Arnoud VDAB Pensioenopbouw'!$D$19</f>
        <v>26.25</v>
      </c>
      <c r="H113" s="19">
        <f>F113*('Arnoud VDAB Pensioenopbouw'!$D$19/100)</f>
        <v>7458.5476992491058</v>
      </c>
      <c r="I113" s="20">
        <f>1+'Arnoud VDAB Pensioenopbouw'!$Q$19/100</f>
        <v>1.0269999999999999</v>
      </c>
      <c r="J113" s="21">
        <f>(Blad1!$C$71-C113)+$J$79</f>
        <v>18</v>
      </c>
      <c r="K113" s="22">
        <f>H113*((1+'Arnoud VDAB Pensioenopbouw'!$Q$19/100)^J113)</f>
        <v>12048.202442516833</v>
      </c>
      <c r="L113" s="23">
        <f t="shared" si="15"/>
        <v>399827.93710597395</v>
      </c>
      <c r="M113" s="178"/>
      <c r="N113" s="172">
        <f t="shared" si="13"/>
        <v>1</v>
      </c>
      <c r="P113" s="108">
        <f>$F113*('Arnoud VDAB Pensioenopbouw'!$E$19*((100-(($C113-20)*($V$14)))/100))/100</f>
        <v>532.75340708922181</v>
      </c>
      <c r="Q113" s="106">
        <f t="shared" si="16"/>
        <v>12170.423761550308</v>
      </c>
      <c r="R113" s="62">
        <f>P113*((1+'Arnoud VDAB Pensioenopbouw'!$J$19/100)^($C$136-C113))</f>
        <v>860.58588875120233</v>
      </c>
      <c r="S113" s="23">
        <f t="shared" si="17"/>
        <v>28559.138364712413</v>
      </c>
      <c r="T113" s="39">
        <f>((K113/'Arnoud VDAB Pensioenopbouw'!$M$15)/R113)*100</f>
        <v>90.322580645161281</v>
      </c>
    </row>
    <row r="114" spans="3:20" ht="15" thickBot="1" x14ac:dyDescent="0.35">
      <c r="C114" s="43">
        <v>50</v>
      </c>
      <c r="D114" s="17">
        <f>(IF(Blad2!E38&lt;&gt;"",(D113*(1+(('Arnoud VDAB Pensioenopbouw'!$C$19)/100)))*(1+Blad2!E38/100),D113*(1+(('Arnoud VDAB Pensioenopbouw'!$C$19)/100))))*(1+$L$4/100)</f>
        <v>55793.559513551518</v>
      </c>
      <c r="E114" s="17">
        <f>(E113*(1+'Arnoud VDAB Pensioenopbouw'!$G$19/100))*(1+$L$4/100)</f>
        <v>26811.774167897853</v>
      </c>
      <c r="F114" s="44">
        <f t="shared" si="14"/>
        <v>28981.785345653665</v>
      </c>
      <c r="G114" s="45">
        <f>'Arnoud VDAB Pensioenopbouw'!$D$19</f>
        <v>26.25</v>
      </c>
      <c r="H114" s="46">
        <f>F114*('Arnoud VDAB Pensioenopbouw'!$D$19/100)</f>
        <v>7607.7186532340875</v>
      </c>
      <c r="I114" s="47">
        <f>1+'Arnoud VDAB Pensioenopbouw'!$Q$19/100</f>
        <v>1.0269999999999999</v>
      </c>
      <c r="J114" s="48">
        <f>(Blad1!$C$71-C114)+$J$79</f>
        <v>17</v>
      </c>
      <c r="K114" s="42">
        <f>H114*((1+'Arnoud VDAB Pensioenopbouw'!$Q$19/100)^J114)</f>
        <v>11966.082270075141</v>
      </c>
      <c r="L114" s="49">
        <f t="shared" si="15"/>
        <v>411794.01937604911</v>
      </c>
      <c r="M114" s="172"/>
      <c r="N114" s="172">
        <f t="shared" si="13"/>
        <v>1</v>
      </c>
      <c r="P114" s="108">
        <f>$F114*('Arnoud VDAB Pensioenopbouw'!$E$19*((100-(($C114-20)*($V$14)))/100))/100</f>
        <v>543.40847523100626</v>
      </c>
      <c r="Q114" s="105">
        <f t="shared" si="16"/>
        <v>12713.832236781314</v>
      </c>
      <c r="R114" s="52">
        <f>P114*((1+'Arnoud VDAB Pensioenopbouw'!$J$19/100)^($C$136-C114))</f>
        <v>854.7201621482244</v>
      </c>
      <c r="S114" s="49">
        <f t="shared" si="17"/>
        <v>29413.858526860637</v>
      </c>
      <c r="T114" s="51">
        <f>((K114/'Arnoud VDAB Pensioenopbouw'!$M$15)/R114)*100</f>
        <v>90.322580645161281</v>
      </c>
    </row>
    <row r="115" spans="3:20" ht="15" thickBot="1" x14ac:dyDescent="0.35">
      <c r="C115" s="16">
        <v>51</v>
      </c>
      <c r="D115" s="17">
        <f>(IF(Blad2!E39&lt;&gt;"",(D114*(1+(('Arnoud VDAB Pensioenopbouw'!$C$19)/100)))*(1+Blad2!E39/100),D114*(1+(('Arnoud VDAB Pensioenopbouw'!$C$19)/100))))*(1+$L$4/100)</f>
        <v>56909.430703822552</v>
      </c>
      <c r="E115" s="17">
        <f>(E114*(1+'Arnoud VDAB Pensioenopbouw'!$G$19/100))*(1+$L$4/100)</f>
        <v>27348.009651255812</v>
      </c>
      <c r="F115" s="17">
        <f t="shared" si="14"/>
        <v>29561.42105256674</v>
      </c>
      <c r="G115" s="18">
        <f>'Arnoud VDAB Pensioenopbouw'!$D$19</f>
        <v>26.25</v>
      </c>
      <c r="H115" s="19">
        <f>F115*('Arnoud VDAB Pensioenopbouw'!$D$19/100)</f>
        <v>7759.8730262987701</v>
      </c>
      <c r="I115" s="20">
        <f>1+'Arnoud VDAB Pensioenopbouw'!$Q$19/100</f>
        <v>1.0269999999999999</v>
      </c>
      <c r="J115" s="21">
        <f>(Blad1!$C$71-C115)+$J$79</f>
        <v>16</v>
      </c>
      <c r="K115" s="22">
        <f>H115*((1+'Arnoud VDAB Pensioenopbouw'!$Q$19/100)^J115)</f>
        <v>11884.521826170056</v>
      </c>
      <c r="L115" s="23">
        <f t="shared" si="15"/>
        <v>423678.54120221914</v>
      </c>
      <c r="M115" s="178"/>
      <c r="N115" s="172">
        <f t="shared" si="13"/>
        <v>1</v>
      </c>
      <c r="P115" s="108">
        <f>$F115*('Arnoud VDAB Pensioenopbouw'!$E$19*((100-(($C115-20)*($V$14)))/100))/100</f>
        <v>554.27664473562641</v>
      </c>
      <c r="Q115" s="106">
        <f t="shared" si="16"/>
        <v>13268.108881516941</v>
      </c>
      <c r="R115" s="62">
        <f>P115*((1+'Arnoud VDAB Pensioenopbouw'!$J$19/100)^($C$136-C115))</f>
        <v>848.89441615500391</v>
      </c>
      <c r="S115" s="23">
        <f t="shared" si="17"/>
        <v>30262.752943015639</v>
      </c>
      <c r="T115" s="39">
        <f>((K115/'Arnoud VDAB Pensioenopbouw'!$M$15)/R115)*100</f>
        <v>90.322580645161295</v>
      </c>
    </row>
    <row r="116" spans="3:20" ht="15" thickBot="1" x14ac:dyDescent="0.35">
      <c r="C116" s="16">
        <v>52</v>
      </c>
      <c r="D116" s="17">
        <f>(IF(Blad2!E40&lt;&gt;"",(D115*(1+(('Arnoud VDAB Pensioenopbouw'!$C$19)/100)))*(1+Blad2!E40/100),D115*(1+(('Arnoud VDAB Pensioenopbouw'!$C$19)/100))))*(1+$L$4/100)</f>
        <v>58047.619317899007</v>
      </c>
      <c r="E116" s="17">
        <f>(E115*(1+'Arnoud VDAB Pensioenopbouw'!$G$19/100))*(1+$L$4/100)</f>
        <v>27894.969844280928</v>
      </c>
      <c r="F116" s="17">
        <f t="shared" si="14"/>
        <v>30152.649473618079</v>
      </c>
      <c r="G116" s="18">
        <f>'Arnoud VDAB Pensioenopbouw'!$D$19</f>
        <v>26.25</v>
      </c>
      <c r="H116" s="19">
        <f>F116*('Arnoud VDAB Pensioenopbouw'!$D$19/100)</f>
        <v>7915.0704868247458</v>
      </c>
      <c r="I116" s="20">
        <f>1+'Arnoud VDAB Pensioenopbouw'!$Q$19/100</f>
        <v>1.0269999999999999</v>
      </c>
      <c r="J116" s="21">
        <f>(Blad1!$C$71-C116)+$J$79</f>
        <v>15</v>
      </c>
      <c r="K116" s="22">
        <f>H116*((1+'Arnoud VDAB Pensioenopbouw'!$Q$19/100)^J116)</f>
        <v>11803.517295709307</v>
      </c>
      <c r="L116" s="23">
        <f t="shared" si="15"/>
        <v>435482.05849792843</v>
      </c>
      <c r="M116" s="178"/>
      <c r="N116" s="172">
        <f t="shared" si="13"/>
        <v>1</v>
      </c>
      <c r="P116" s="108">
        <f>$F116*('Arnoud VDAB Pensioenopbouw'!$E$19*((100-(($C116-20)*($V$14)))/100))/100</f>
        <v>565.36217763033903</v>
      </c>
      <c r="Q116" s="106">
        <f t="shared" si="16"/>
        <v>13833.471059147279</v>
      </c>
      <c r="R116" s="62">
        <f>P116*((1+'Arnoud VDAB Pensioenopbouw'!$J$19/100)^($C$136-C116))</f>
        <v>843.1083782649506</v>
      </c>
      <c r="S116" s="23">
        <f t="shared" si="17"/>
        <v>31105.86132128059</v>
      </c>
      <c r="T116" s="39">
        <f>((K116/'Arnoud VDAB Pensioenopbouw'!$M$15)/R116)*100</f>
        <v>90.322580645161281</v>
      </c>
    </row>
    <row r="117" spans="3:20" ht="15" thickBot="1" x14ac:dyDescent="0.35">
      <c r="C117" s="16">
        <v>53</v>
      </c>
      <c r="D117" s="17">
        <f>(IF(Blad2!E41&lt;&gt;"",(D116*(1+(('Arnoud VDAB Pensioenopbouw'!$C$19)/100)))*(1+Blad2!E41/100),D116*(1+(('Arnoud VDAB Pensioenopbouw'!$C$19)/100))))*(1+$L$4/100)</f>
        <v>59208.571704256989</v>
      </c>
      <c r="E117" s="17">
        <f>(E116*(1+'Arnoud VDAB Pensioenopbouw'!$G$19/100))*(1+$L$4/100)</f>
        <v>28452.869241166547</v>
      </c>
      <c r="F117" s="17">
        <f t="shared" si="14"/>
        <v>30755.702463090442</v>
      </c>
      <c r="G117" s="18">
        <f>'Arnoud VDAB Pensioenopbouw'!$D$19</f>
        <v>26.25</v>
      </c>
      <c r="H117" s="19">
        <f>F117*('Arnoud VDAB Pensioenopbouw'!$D$19/100)</f>
        <v>8073.3718965612416</v>
      </c>
      <c r="I117" s="20">
        <f>1+'Arnoud VDAB Pensioenopbouw'!$Q$19/100</f>
        <v>1.0269999999999999</v>
      </c>
      <c r="J117" s="21">
        <f>(Blad1!$C$71-C117)+$J$79</f>
        <v>14</v>
      </c>
      <c r="K117" s="22">
        <f>H117*((1+'Arnoud VDAB Pensioenopbouw'!$Q$19/100)^J117)</f>
        <v>11723.064889604184</v>
      </c>
      <c r="L117" s="23">
        <f t="shared" si="15"/>
        <v>447205.1233875326</v>
      </c>
      <c r="M117" s="178"/>
      <c r="N117" s="172">
        <f t="shared" si="13"/>
        <v>1</v>
      </c>
      <c r="P117" s="108">
        <f>$F117*('Arnoud VDAB Pensioenopbouw'!$E$19*((100-(($C117-20)*($V$14)))/100))/100</f>
        <v>576.66942118294583</v>
      </c>
      <c r="Q117" s="106">
        <f t="shared" si="16"/>
        <v>14410.140480330225</v>
      </c>
      <c r="R117" s="62">
        <f>P117*((1+'Arnoud VDAB Pensioenopbouw'!$J$19/100)^($C$136-C117))</f>
        <v>837.36177782887023</v>
      </c>
      <c r="S117" s="23">
        <f t="shared" si="17"/>
        <v>31943.223099109462</v>
      </c>
      <c r="T117" s="39">
        <f>((K117/'Arnoud VDAB Pensioenopbouw'!$M$15)/R117)*100</f>
        <v>90.322580645161295</v>
      </c>
    </row>
    <row r="118" spans="3:20" ht="15" thickBot="1" x14ac:dyDescent="0.35">
      <c r="C118" s="16">
        <v>54</v>
      </c>
      <c r="D118" s="17">
        <f>(IF(Blad2!E42&lt;&gt;"",(D117*(1+(('Arnoud VDAB Pensioenopbouw'!$C$19)/100)))*(1+Blad2!E42/100),D117*(1+(('Arnoud VDAB Pensioenopbouw'!$C$19)/100))))*(1+$L$4/100)</f>
        <v>60392.743138342128</v>
      </c>
      <c r="E118" s="17">
        <f>(E117*(1+'Arnoud VDAB Pensioenopbouw'!$G$19/100))*(1+$L$4/100)</f>
        <v>29021.92662598988</v>
      </c>
      <c r="F118" s="17">
        <f t="shared" si="14"/>
        <v>31370.816512352249</v>
      </c>
      <c r="G118" s="18">
        <f>'Arnoud VDAB Pensioenopbouw'!$D$19</f>
        <v>26.25</v>
      </c>
      <c r="H118" s="19">
        <f>F118*('Arnoud VDAB Pensioenopbouw'!$D$19/100)</f>
        <v>8234.8393344924662</v>
      </c>
      <c r="I118" s="20">
        <f>1+'Arnoud VDAB Pensioenopbouw'!$Q$19/100</f>
        <v>1.0269999999999999</v>
      </c>
      <c r="J118" s="21">
        <f>(Blad1!$C$71-C118)+$J$79</f>
        <v>13</v>
      </c>
      <c r="K118" s="22">
        <f>H118*((1+'Arnoud VDAB Pensioenopbouw'!$Q$19/100)^J118)</f>
        <v>11643.160844592276</v>
      </c>
      <c r="L118" s="23">
        <f t="shared" si="15"/>
        <v>458848.28423212486</v>
      </c>
      <c r="M118" s="178"/>
      <c r="N118" s="172">
        <f t="shared" si="13"/>
        <v>1</v>
      </c>
      <c r="P118" s="108">
        <f>$F118*('Arnoud VDAB Pensioenopbouw'!$E$19*((100-(($C118-20)*($V$14)))/100))/100</f>
        <v>588.20280960660466</v>
      </c>
      <c r="Q118" s="106">
        <f t="shared" si="16"/>
        <v>14998.343289936829</v>
      </c>
      <c r="R118" s="62">
        <f>P118*((1+'Arnoud VDAB Pensioenopbouw'!$J$19/100)^($C$136-C118))</f>
        <v>831.65434604230529</v>
      </c>
      <c r="S118" s="23">
        <f t="shared" si="17"/>
        <v>32774.877445151767</v>
      </c>
      <c r="T118" s="39">
        <f>((K118/'Arnoud VDAB Pensioenopbouw'!$M$15)/R118)*100</f>
        <v>90.322580645161295</v>
      </c>
    </row>
    <row r="119" spans="3:20" ht="15" thickBot="1" x14ac:dyDescent="0.35">
      <c r="C119" s="16">
        <v>55</v>
      </c>
      <c r="D119" s="17">
        <f>(IF(Blad2!E43&lt;&gt;"",(D118*(1+(('Arnoud VDAB Pensioenopbouw'!$C$19)/100)))*(1+Blad2!E43/100),D118*(1+(('Arnoud VDAB Pensioenopbouw'!$C$19)/100))))*(1+$L$4/100)</f>
        <v>61600.59800110897</v>
      </c>
      <c r="E119" s="17">
        <f>(E118*(1+'Arnoud VDAB Pensioenopbouw'!$G$19/100))*(1+$L$4/100)</f>
        <v>29602.365158509678</v>
      </c>
      <c r="F119" s="17">
        <f t="shared" si="14"/>
        <v>31998.232842599293</v>
      </c>
      <c r="G119" s="18">
        <f>'Arnoud VDAB Pensioenopbouw'!$D$19</f>
        <v>26.25</v>
      </c>
      <c r="H119" s="19">
        <f>F119*('Arnoud VDAB Pensioenopbouw'!$D$19/100)</f>
        <v>8399.5361211823147</v>
      </c>
      <c r="I119" s="20">
        <f>1+'Arnoud VDAB Pensioenopbouw'!$Q$19/100</f>
        <v>1.0269999999999999</v>
      </c>
      <c r="J119" s="21">
        <f>(Blad1!$C$71-C119)+$J$79</f>
        <v>12</v>
      </c>
      <c r="K119" s="22">
        <f>H119*((1+'Arnoud VDAB Pensioenopbouw'!$Q$19/100)^J119)</f>
        <v>11563.801423061463</v>
      </c>
      <c r="L119" s="23">
        <f t="shared" si="15"/>
        <v>470412.08565518633</v>
      </c>
      <c r="M119" s="178"/>
      <c r="N119" s="172">
        <f t="shared" si="13"/>
        <v>1</v>
      </c>
      <c r="P119" s="108">
        <f>$F119*('Arnoud VDAB Pensioenopbouw'!$E$19*((100-(($C119-20)*($V$14)))/100))/100</f>
        <v>599.96686579873676</v>
      </c>
      <c r="Q119" s="106">
        <f t="shared" si="16"/>
        <v>15598.310155735566</v>
      </c>
      <c r="R119" s="62">
        <f>P119*((1+'Arnoud VDAB Pensioenopbouw'!$J$19/100)^($C$136-C119))</f>
        <v>825.9858159329616</v>
      </c>
      <c r="S119" s="23">
        <f t="shared" si="17"/>
        <v>33600.863261084727</v>
      </c>
      <c r="T119" s="39">
        <f>((K119/'Arnoud VDAB Pensioenopbouw'!$M$15)/R119)*100</f>
        <v>90.322580645161281</v>
      </c>
    </row>
    <row r="120" spans="3:20" ht="15" thickBot="1" x14ac:dyDescent="0.35">
      <c r="C120" s="16">
        <v>56</v>
      </c>
      <c r="D120" s="17">
        <f>(IF(Blad2!E44&lt;&gt;"",(D119*(1+(('Arnoud VDAB Pensioenopbouw'!$C$19)/100)))*(1+Blad2!E44/100),D119*(1+(('Arnoud VDAB Pensioenopbouw'!$C$19)/100))))*(1+$L$4/100)</f>
        <v>62832.609961131151</v>
      </c>
      <c r="E120" s="17">
        <f>(E119*(1+'Arnoud VDAB Pensioenopbouw'!$G$19/100))*(1+$L$4/100)</f>
        <v>30194.412461679873</v>
      </c>
      <c r="F120" s="17">
        <f t="shared" si="14"/>
        <v>32638.197499451278</v>
      </c>
      <c r="G120" s="18">
        <f>'Arnoud VDAB Pensioenopbouw'!$D$19</f>
        <v>26.25</v>
      </c>
      <c r="H120" s="19">
        <f>F120*('Arnoud VDAB Pensioenopbouw'!$D$19/100)</f>
        <v>8567.5268436059614</v>
      </c>
      <c r="I120" s="20">
        <f>1+'Arnoud VDAB Pensioenopbouw'!$Q$19/100</f>
        <v>1.0269999999999999</v>
      </c>
      <c r="J120" s="21">
        <f>(Blad1!$C$71-C120)+$J$79</f>
        <v>11</v>
      </c>
      <c r="K120" s="22">
        <f>H120*((1+'Arnoud VDAB Pensioenopbouw'!$Q$19/100)^J120)</f>
        <v>11484.982912875066</v>
      </c>
      <c r="L120" s="23">
        <f t="shared" si="15"/>
        <v>481897.0685680614</v>
      </c>
      <c r="M120" s="178"/>
      <c r="N120" s="172">
        <f t="shared" si="13"/>
        <v>1</v>
      </c>
      <c r="P120" s="108">
        <f>$F120*('Arnoud VDAB Pensioenopbouw'!$E$19*((100-(($C120-20)*($V$14)))/100))/100</f>
        <v>611.96620311471145</v>
      </c>
      <c r="Q120" s="106">
        <f t="shared" si="16"/>
        <v>16210.276358850277</v>
      </c>
      <c r="R120" s="62">
        <f>P120*((1+'Arnoud VDAB Pensioenopbouw'!$J$19/100)^($C$136-C120))</f>
        <v>820.35592234821888</v>
      </c>
      <c r="S120" s="23">
        <f t="shared" si="17"/>
        <v>34421.219183432942</v>
      </c>
      <c r="T120" s="39">
        <f>((K120/'Arnoud VDAB Pensioenopbouw'!$M$15)/R120)*100</f>
        <v>90.322580645161295</v>
      </c>
    </row>
    <row r="121" spans="3:20" ht="15" thickBot="1" x14ac:dyDescent="0.35">
      <c r="C121" s="16">
        <v>57</v>
      </c>
      <c r="D121" s="17">
        <f>(IF(Blad2!E45&lt;&gt;"",(D120*(1+(('Arnoud VDAB Pensioenopbouw'!$C$19)/100)))*(1+Blad2!E45/100),D120*(1+(('Arnoud VDAB Pensioenopbouw'!$C$19)/100))))*(1+$L$4/100)</f>
        <v>64089.262160353777</v>
      </c>
      <c r="E121" s="17">
        <f>(E120*(1+'Arnoud VDAB Pensioenopbouw'!$G$19/100))*(1+$L$4/100)</f>
        <v>30798.300710913471</v>
      </c>
      <c r="F121" s="17">
        <f t="shared" si="14"/>
        <v>33290.961449440307</v>
      </c>
      <c r="G121" s="18">
        <f>'Arnoud VDAB Pensioenopbouw'!$D$19</f>
        <v>26.25</v>
      </c>
      <c r="H121" s="19">
        <f>F121*('Arnoud VDAB Pensioenopbouw'!$D$19/100)</f>
        <v>8738.8773804780812</v>
      </c>
      <c r="I121" s="20">
        <f>1+'Arnoud VDAB Pensioenopbouw'!$Q$19/100</f>
        <v>1.0269999999999999</v>
      </c>
      <c r="J121" s="21">
        <f>(Blad1!$C$71-C121)+$J$79</f>
        <v>10</v>
      </c>
      <c r="K121" s="22">
        <f>H121*((1+'Arnoud VDAB Pensioenopbouw'!$Q$19/100)^J121)</f>
        <v>11406.701627198217</v>
      </c>
      <c r="L121" s="23">
        <f t="shared" si="15"/>
        <v>493303.7701952596</v>
      </c>
      <c r="M121" s="178"/>
      <c r="N121" s="172">
        <f t="shared" si="13"/>
        <v>1</v>
      </c>
      <c r="P121" s="108">
        <f>$F121*('Arnoud VDAB Pensioenopbouw'!$E$19*((100-(($C121-20)*($V$14)))/100))/100</f>
        <v>624.20552717700571</v>
      </c>
      <c r="Q121" s="106">
        <f t="shared" si="16"/>
        <v>16834.481886027283</v>
      </c>
      <c r="R121" s="62">
        <f>P121*((1+'Arnoud VDAB Pensioenopbouw'!$J$19/100)^($C$136-C121))</f>
        <v>814.76440194272971</v>
      </c>
      <c r="S121" s="23">
        <f t="shared" si="17"/>
        <v>35235.983585375674</v>
      </c>
      <c r="T121" s="39">
        <f>((K121/'Arnoud VDAB Pensioenopbouw'!$M$15)/R121)*100</f>
        <v>90.322580645161295</v>
      </c>
    </row>
    <row r="122" spans="3:20" ht="15" thickBot="1" x14ac:dyDescent="0.35">
      <c r="C122" s="16">
        <v>58</v>
      </c>
      <c r="D122" s="17">
        <f>(IF(Blad2!E46&lt;&gt;"",(D121*(1+(('Arnoud VDAB Pensioenopbouw'!$C$19)/100)))*(1+Blad2!E46/100),D121*(1+(('Arnoud VDAB Pensioenopbouw'!$C$19)/100))))*(1+$L$4/100)</f>
        <v>65371.047403560857</v>
      </c>
      <c r="E122" s="17">
        <f>(E121*(1+'Arnoud VDAB Pensioenopbouw'!$G$19/100))*(1+$L$4/100)</f>
        <v>31414.26672513174</v>
      </c>
      <c r="F122" s="17">
        <f t="shared" si="14"/>
        <v>33956.780678429117</v>
      </c>
      <c r="G122" s="18">
        <f>'Arnoud VDAB Pensioenopbouw'!$D$19</f>
        <v>26.25</v>
      </c>
      <c r="H122" s="19">
        <f>F122*('Arnoud VDAB Pensioenopbouw'!$D$19/100)</f>
        <v>8913.6549280876443</v>
      </c>
      <c r="I122" s="20">
        <f>1+'Arnoud VDAB Pensioenopbouw'!$Q$19/100</f>
        <v>1.0269999999999999</v>
      </c>
      <c r="J122" s="21">
        <f>(Blad1!$C$71-C122)+$J$79</f>
        <v>9</v>
      </c>
      <c r="K122" s="22">
        <f>H122*((1+'Arnoud VDAB Pensioenopbouw'!$Q$19/100)^J122)</f>
        <v>11328.953904325397</v>
      </c>
      <c r="L122" s="23">
        <f t="shared" si="15"/>
        <v>504632.72409958497</v>
      </c>
      <c r="M122" s="178"/>
      <c r="N122" s="172">
        <f t="shared" si="13"/>
        <v>1</v>
      </c>
      <c r="P122" s="108">
        <f>$F122*('Arnoud VDAB Pensioenopbouw'!$E$19*((100-(($C122-20)*($V$14)))/100))/100</f>
        <v>636.68963772054599</v>
      </c>
      <c r="Q122" s="106">
        <f t="shared" si="16"/>
        <v>17471.171523747827</v>
      </c>
      <c r="R122" s="62">
        <f>P122*((1+'Arnoud VDAB Pensioenopbouw'!$J$19/100)^($C$136-C122))</f>
        <v>809.2109931660998</v>
      </c>
      <c r="S122" s="23">
        <f t="shared" si="17"/>
        <v>36045.194578541777</v>
      </c>
      <c r="T122" s="39">
        <f>((K122/'Arnoud VDAB Pensioenopbouw'!$M$15)/R122)*100</f>
        <v>90.322580645161295</v>
      </c>
    </row>
    <row r="123" spans="3:20" ht="15" thickBot="1" x14ac:dyDescent="0.35">
      <c r="C123" s="16">
        <v>59</v>
      </c>
      <c r="D123" s="17">
        <f>(IF(Blad2!E47&lt;&gt;"",(D122*(1+(('Arnoud VDAB Pensioenopbouw'!$C$19)/100)))*(1+Blad2!E47/100),D122*(1+(('Arnoud VDAB Pensioenopbouw'!$C$19)/100))))*(1+$L$4/100)</f>
        <v>66678.46835163208</v>
      </c>
      <c r="E123" s="17">
        <f>(E122*(1+'Arnoud VDAB Pensioenopbouw'!$G$19/100))*(1+$L$4/100)</f>
        <v>32042.552059634374</v>
      </c>
      <c r="F123" s="17">
        <f t="shared" si="14"/>
        <v>34635.91629199771</v>
      </c>
      <c r="G123" s="18">
        <f>'Arnoud VDAB Pensioenopbouw'!$D$19</f>
        <v>26.25</v>
      </c>
      <c r="H123" s="19">
        <f>F123*('Arnoud VDAB Pensioenopbouw'!$D$19/100)</f>
        <v>9091.9280266493988</v>
      </c>
      <c r="I123" s="20">
        <f>1+'Arnoud VDAB Pensioenopbouw'!$Q$19/100</f>
        <v>1.0269999999999999</v>
      </c>
      <c r="J123" s="21">
        <f>(Blad1!$C$71-C123)+$J$79</f>
        <v>8</v>
      </c>
      <c r="K123" s="22">
        <f>H123*((1+'Arnoud VDAB Pensioenopbouw'!$Q$19/100)^J123)</f>
        <v>11251.736107509163</v>
      </c>
      <c r="L123" s="23">
        <f t="shared" si="15"/>
        <v>515884.46020709415</v>
      </c>
      <c r="M123" s="178"/>
      <c r="N123" s="172">
        <f t="shared" si="13"/>
        <v>1</v>
      </c>
      <c r="P123" s="108">
        <f>$F123*('Arnoud VDAB Pensioenopbouw'!$E$19*((100-(($C123-20)*($V$14)))/100))/100</f>
        <v>649.42343047495706</v>
      </c>
      <c r="Q123" s="106">
        <f t="shared" si="16"/>
        <v>18120.594954222783</v>
      </c>
      <c r="R123" s="62">
        <f>P123*((1+'Arnoud VDAB Pensioenopbouw'!$J$19/100)^($C$136-C123))</f>
        <v>803.69543625065444</v>
      </c>
      <c r="S123" s="23">
        <f t="shared" si="17"/>
        <v>36848.890014792429</v>
      </c>
      <c r="T123" s="39">
        <f>((K123/'Arnoud VDAB Pensioenopbouw'!$M$15)/R123)*100</f>
        <v>90.322580645161295</v>
      </c>
    </row>
    <row r="124" spans="3:20" ht="15" thickBot="1" x14ac:dyDescent="0.35">
      <c r="C124" s="16">
        <v>60</v>
      </c>
      <c r="D124" s="17">
        <f>(IF(Blad2!E48&lt;&gt;"",(D123*(1+(('Arnoud VDAB Pensioenopbouw'!$C$19)/100)))*(1+Blad2!E48/100),D123*(1+(('Arnoud VDAB Pensioenopbouw'!$C$19)/100))))*(1+$L$4/100)</f>
        <v>68012.037718664724</v>
      </c>
      <c r="E124" s="17">
        <f>(E123*(1+'Arnoud VDAB Pensioenopbouw'!$G$19/100))*(1+$L$4/100)</f>
        <v>32683.403100827061</v>
      </c>
      <c r="F124" s="17">
        <f t="shared" si="14"/>
        <v>35328.634617837663</v>
      </c>
      <c r="G124" s="18">
        <f>'Arnoud VDAB Pensioenopbouw'!$D$19</f>
        <v>26.25</v>
      </c>
      <c r="H124" s="19">
        <f>F124*('Arnoud VDAB Pensioenopbouw'!$D$19/100)</f>
        <v>9273.7665871823865</v>
      </c>
      <c r="I124" s="20">
        <f>1+'Arnoud VDAB Pensioenopbouw'!$Q$19/100</f>
        <v>1.0269999999999999</v>
      </c>
      <c r="J124" s="21">
        <f>(Blad1!$C$71-C124)+$J$79</f>
        <v>7</v>
      </c>
      <c r="K124" s="22">
        <f>H124*((1+'Arnoud VDAB Pensioenopbouw'!$Q$19/100)^J124)</f>
        <v>11175.044624790016</v>
      </c>
      <c r="L124" s="23">
        <f t="shared" si="15"/>
        <v>527059.50483188417</v>
      </c>
      <c r="M124" s="178"/>
      <c r="N124" s="172">
        <f t="shared" si="13"/>
        <v>1</v>
      </c>
      <c r="P124" s="108">
        <f>$F124*('Arnoud VDAB Pensioenopbouw'!$E$19*((100-(($C124-20)*($V$14)))/100))/100</f>
        <v>662.41189908445619</v>
      </c>
      <c r="Q124" s="106">
        <f t="shared" si="16"/>
        <v>18783.006853307237</v>
      </c>
      <c r="R124" s="62">
        <f>P124*((1+'Arnoud VDAB Pensioenopbouw'!$J$19/100)^($C$136-C124))</f>
        <v>798.21747319928681</v>
      </c>
      <c r="S124" s="23">
        <f t="shared" si="17"/>
        <v>37647.107487991714</v>
      </c>
      <c r="T124" s="39">
        <f>((K124/'Arnoud VDAB Pensioenopbouw'!$M$15)/R124)*100</f>
        <v>90.322580645161295</v>
      </c>
    </row>
    <row r="125" spans="3:20" ht="15" thickBot="1" x14ac:dyDescent="0.35">
      <c r="C125" s="159">
        <v>61</v>
      </c>
      <c r="D125" s="17">
        <f>((IF(Blad2!E49&lt;&gt;"",(D124*(1+(('Arnoud VDAB Pensioenopbouw'!$C$19)/100)))*(1+Blad2!E49/100),D124*(1+(('Arnoud VDAB Pensioenopbouw'!$C$19)/100))))*(1+$L$4/100))*N125</f>
        <v>69372.278473038023</v>
      </c>
      <c r="E125" s="17">
        <f>(E124*(1+'Arnoud VDAB Pensioenopbouw'!$G$19/100))*(1+$L$4/100)</f>
        <v>33337.071162843604</v>
      </c>
      <c r="F125" s="44">
        <f t="shared" ref="F125:F135" si="18">(D125-E125)*N125</f>
        <v>36035.207310194419</v>
      </c>
      <c r="G125" s="45">
        <f>'Arnoud VDAB Pensioenopbouw'!$D$19</f>
        <v>26.25</v>
      </c>
      <c r="H125" s="46">
        <f>F125*('Arnoud VDAB Pensioenopbouw'!$D$19/100)*(N125)</f>
        <v>9459.2419189260345</v>
      </c>
      <c r="I125" s="47">
        <f>1+'Arnoud VDAB Pensioenopbouw'!$Q$19/100</f>
        <v>1.0269999999999999</v>
      </c>
      <c r="J125" s="21">
        <f>(Blad1!$C$71-C125)+$J$79</f>
        <v>6</v>
      </c>
      <c r="K125" s="42">
        <f>H125*((1+'Arnoud VDAB Pensioenopbouw'!$Q$19/100)^J125)*(N125)</f>
        <v>11098.875868827476</v>
      </c>
      <c r="L125" s="49">
        <f t="shared" ref="L125:L135" si="19">(L124+K125)*N125</f>
        <v>538158.38070071163</v>
      </c>
      <c r="M125" s="172"/>
      <c r="N125" s="172">
        <f t="shared" ref="N125:N135" si="20">IF((J125&lt;-0.1), 0.0000001,1)</f>
        <v>1</v>
      </c>
      <c r="P125" s="108">
        <f>$F125*('Arnoud VDAB Pensioenopbouw'!$E$19*((100-(($C125-20)*($V$14)))/100))/100</f>
        <v>675.66013706614535</v>
      </c>
      <c r="Q125" s="105">
        <f t="shared" ref="Q125:Q135" si="21">(P125+Q124)*N125</f>
        <v>19458.666990373382</v>
      </c>
      <c r="R125" s="62">
        <f>P125*((1+'Arnoud VDAB Pensioenopbouw'!$J$19/100)^($C$136-C125))</f>
        <v>792.77684777339118</v>
      </c>
      <c r="S125" s="49">
        <f t="shared" ref="S125:S135" si="22">(S124+R125)*N125</f>
        <v>38439.884335765106</v>
      </c>
      <c r="T125" s="39">
        <f>((K125/'Arnoud VDAB Pensioenopbouw'!$M$15)/R125)*100</f>
        <v>90.322580645161281</v>
      </c>
    </row>
    <row r="126" spans="3:20" ht="15" thickBot="1" x14ac:dyDescent="0.35">
      <c r="C126" s="175">
        <v>62</v>
      </c>
      <c r="D126" s="17">
        <f>((IF(Blad2!E50&lt;&gt;"",(D125*(1+(('Arnoud VDAB Pensioenopbouw'!$C$19)/100)))*(1+Blad2!E50/100),D125*(1+(('Arnoud VDAB Pensioenopbouw'!$C$19)/100))))*(1+$L$4/100))*N126</f>
        <v>70759.724042498783</v>
      </c>
      <c r="E126" s="17">
        <f>(E125*(1+'Arnoud VDAB Pensioenopbouw'!$G$19/100))*(1+$L$4/100)</f>
        <v>34003.812586100474</v>
      </c>
      <c r="F126" s="44">
        <f t="shared" si="18"/>
        <v>36755.911456398309</v>
      </c>
      <c r="G126" s="45">
        <f>'Arnoud VDAB Pensioenopbouw'!$D$19</f>
        <v>26.25</v>
      </c>
      <c r="H126" s="46">
        <f>F126*('Arnoud VDAB Pensioenopbouw'!$D$19/100)*(N126)</f>
        <v>9648.4267573045563</v>
      </c>
      <c r="I126" s="47">
        <f>1+'Arnoud VDAB Pensioenopbouw'!$Q$19/100</f>
        <v>1.0269999999999999</v>
      </c>
      <c r="J126" s="21">
        <f>(Blad1!$C$71-C126)+$J$79</f>
        <v>5</v>
      </c>
      <c r="K126" s="42">
        <f>H126*((1+'Arnoud VDAB Pensioenopbouw'!$Q$19/100)^J126)*(N126)</f>
        <v>11023.226276732257</v>
      </c>
      <c r="L126" s="49">
        <f t="shared" si="19"/>
        <v>549181.60697744391</v>
      </c>
      <c r="M126" s="172"/>
      <c r="N126" s="172">
        <f t="shared" si="20"/>
        <v>1</v>
      </c>
      <c r="P126" s="108">
        <f>$F126*('Arnoud VDAB Pensioenopbouw'!$E$19*((100-(($C126-20)*($V$14)))/100))/100</f>
        <v>689.17333980746832</v>
      </c>
      <c r="Q126" s="105">
        <f t="shared" si="21"/>
        <v>20147.84033018085</v>
      </c>
      <c r="R126" s="62">
        <f>P126*((1+'Arnoud VDAB Pensioenopbouw'!$J$19/100)^($C$136-C126))</f>
        <v>787.3733054808755</v>
      </c>
      <c r="S126" s="49">
        <f t="shared" si="22"/>
        <v>39227.257641245982</v>
      </c>
      <c r="T126" s="39">
        <f>((K126/'Arnoud VDAB Pensioenopbouw'!$M$15)/R126)*100</f>
        <v>90.322580645161281</v>
      </c>
    </row>
    <row r="127" spans="3:20" ht="15" thickBot="1" x14ac:dyDescent="0.35">
      <c r="C127" s="175">
        <v>63</v>
      </c>
      <c r="D127" s="17">
        <f>((IF(Blad2!E51&lt;&gt;"",(D126*(1+(('Arnoud VDAB Pensioenopbouw'!$C$19)/100)))*(1+Blad2!E51/100),D126*(1+(('Arnoud VDAB Pensioenopbouw'!$C$19)/100))))*(1+$L$4/100))*N127</f>
        <v>72174.918523348766</v>
      </c>
      <c r="E127" s="17">
        <f>(E126*(1+'Arnoud VDAB Pensioenopbouw'!$G$19/100))*(1+$L$4/100)</f>
        <v>34683.888837822487</v>
      </c>
      <c r="F127" s="44">
        <f t="shared" si="18"/>
        <v>37491.029685526279</v>
      </c>
      <c r="G127" s="45">
        <f>'Arnoud VDAB Pensioenopbouw'!$D$19</f>
        <v>26.25</v>
      </c>
      <c r="H127" s="46">
        <f>F127*('Arnoud VDAB Pensioenopbouw'!$D$19/100)*(N127)</f>
        <v>9841.3952924506484</v>
      </c>
      <c r="I127" s="47">
        <f>1+'Arnoud VDAB Pensioenopbouw'!$Q$19/100</f>
        <v>1.0269999999999999</v>
      </c>
      <c r="J127" s="21">
        <f>(Blad1!$C$71-C127)+$J$79</f>
        <v>4</v>
      </c>
      <c r="K127" s="42">
        <f>H127*((1+'Arnoud VDAB Pensioenopbouw'!$Q$19/100)^J127)*(N127)</f>
        <v>10948.092309899614</v>
      </c>
      <c r="L127" s="49">
        <f t="shared" si="19"/>
        <v>560129.69928734354</v>
      </c>
      <c r="M127" s="172"/>
      <c r="N127" s="172">
        <f t="shared" si="20"/>
        <v>1</v>
      </c>
      <c r="P127" s="108">
        <f>$F127*('Arnoud VDAB Pensioenopbouw'!$E$19*((100-(($C127-20)*($V$14)))/100))/100</f>
        <v>702.95680660361768</v>
      </c>
      <c r="Q127" s="105">
        <f t="shared" si="21"/>
        <v>20850.797136784469</v>
      </c>
      <c r="R127" s="62">
        <f>P127*((1+'Arnoud VDAB Pensioenopbouw'!$J$19/100)^($C$136-C127))</f>
        <v>782.00659356425808</v>
      </c>
      <c r="S127" s="49">
        <f t="shared" si="22"/>
        <v>40009.264234810238</v>
      </c>
      <c r="T127" s="39">
        <f>((K127/'Arnoud VDAB Pensioenopbouw'!$M$15)/R127)*100</f>
        <v>90.322580645161295</v>
      </c>
    </row>
    <row r="128" spans="3:20" ht="15" thickBot="1" x14ac:dyDescent="0.35">
      <c r="C128" s="175">
        <v>64</v>
      </c>
      <c r="D128" s="17">
        <f>((IF(Blad2!E52&lt;&gt;"",(D127*(1+(('Arnoud VDAB Pensioenopbouw'!$C$19)/100)))*(1+Blad2!E52/100),D127*(1+(('Arnoud VDAB Pensioenopbouw'!$C$19)/100))))*(1+$L$4/100))*N128</f>
        <v>73618.416893815738</v>
      </c>
      <c r="E128" s="17">
        <f>(E127*(1+'Arnoud VDAB Pensioenopbouw'!$G$19/100))*(1+$L$4/100)</f>
        <v>35377.566614578936</v>
      </c>
      <c r="F128" s="44">
        <f t="shared" si="18"/>
        <v>38240.850279236802</v>
      </c>
      <c r="G128" s="45">
        <f>'Arnoud VDAB Pensioenopbouw'!$D$19</f>
        <v>26.25</v>
      </c>
      <c r="H128" s="46">
        <f>F128*('Arnoud VDAB Pensioenopbouw'!$D$19/100)*(N128)</f>
        <v>10038.22319829966</v>
      </c>
      <c r="I128" s="47">
        <f>1+'Arnoud VDAB Pensioenopbouw'!$Q$19/100</f>
        <v>1.0269999999999999</v>
      </c>
      <c r="J128" s="21">
        <f>(Blad1!$C$71-C128)+$J$79</f>
        <v>3</v>
      </c>
      <c r="K128" s="42">
        <f>H128*((1+'Arnoud VDAB Pensioenopbouw'!$Q$19/100)^J128)*(N128)</f>
        <v>10873.470453843824</v>
      </c>
      <c r="L128" s="49">
        <f t="shared" si="19"/>
        <v>571003.16974118736</v>
      </c>
      <c r="M128" s="172"/>
      <c r="N128" s="172">
        <f t="shared" si="20"/>
        <v>1</v>
      </c>
      <c r="P128" s="108">
        <f>$F128*('Arnoud VDAB Pensioenopbouw'!$E$19*((100-(($C128-20)*($V$14)))/100))/100</f>
        <v>717.01594273569003</v>
      </c>
      <c r="Q128" s="105">
        <f t="shared" si="21"/>
        <v>21567.813079520158</v>
      </c>
      <c r="R128" s="62">
        <f>P128*((1+'Arnoud VDAB Pensioenopbouw'!$J$19/100)^($C$136-C128))</f>
        <v>776.67646098884461</v>
      </c>
      <c r="S128" s="49">
        <f t="shared" si="22"/>
        <v>40785.94069579908</v>
      </c>
      <c r="T128" s="39">
        <f>((K128/'Arnoud VDAB Pensioenopbouw'!$M$15)/R128)*100</f>
        <v>90.322580645161281</v>
      </c>
    </row>
    <row r="129" spans="1:20" ht="15" thickBot="1" x14ac:dyDescent="0.35">
      <c r="C129" s="175">
        <v>65</v>
      </c>
      <c r="D129" s="17">
        <f>((IF(Blad2!E53&lt;&gt;"",(D128*(1+(('Arnoud VDAB Pensioenopbouw'!$C$19)/100)))*(1+Blad2!E53/100),D128*(1+(('Arnoud VDAB Pensioenopbouw'!$C$19)/100))))*(1+$L$4/100))*N129</f>
        <v>75090.785231692047</v>
      </c>
      <c r="E129" s="17">
        <f>(E128*(1+'Arnoud VDAB Pensioenopbouw'!$G$19/100))*(1+$L$4/100)</f>
        <v>36085.117946870516</v>
      </c>
      <c r="F129" s="44">
        <f t="shared" si="18"/>
        <v>39005.667284821531</v>
      </c>
      <c r="G129" s="45">
        <f>'Arnoud VDAB Pensioenopbouw'!$D$19</f>
        <v>26.25</v>
      </c>
      <c r="H129" s="46">
        <f>F129*('Arnoud VDAB Pensioenopbouw'!$D$19/100)*(N129)</f>
        <v>10238.987662265652</v>
      </c>
      <c r="I129" s="47">
        <f>1+'Arnoud VDAB Pensioenopbouw'!$Q$19/100</f>
        <v>1.0269999999999999</v>
      </c>
      <c r="J129" s="21">
        <f>(Blad1!$C$71-C129)+$J$79</f>
        <v>2</v>
      </c>
      <c r="K129" s="42">
        <f>H129*((1+'Arnoud VDAB Pensioenopbouw'!$Q$19/100)^J129)*(N129)</f>
        <v>10799.357218033787</v>
      </c>
      <c r="L129" s="49">
        <f t="shared" si="19"/>
        <v>581802.52695922111</v>
      </c>
      <c r="M129" s="172"/>
      <c r="N129" s="172">
        <f t="shared" si="20"/>
        <v>1</v>
      </c>
      <c r="P129" s="108">
        <f>$F129*('Arnoud VDAB Pensioenopbouw'!$E$19*((100-(($C129-20)*($V$14)))/100))/100</f>
        <v>731.35626159040373</v>
      </c>
      <c r="Q129" s="105">
        <f t="shared" si="21"/>
        <v>22299.169341110563</v>
      </c>
      <c r="R129" s="62">
        <f>P129*((1+'Arnoud VDAB Pensioenopbouw'!$J$19/100)^($C$136-C129))</f>
        <v>771.38265843098475</v>
      </c>
      <c r="S129" s="49">
        <f t="shared" si="22"/>
        <v>41557.323354230066</v>
      </c>
      <c r="T129" s="39">
        <f>((K129/'Arnoud VDAB Pensioenopbouw'!$M$15)/R129)*100</f>
        <v>90.322580645161295</v>
      </c>
    </row>
    <row r="130" spans="1:20" ht="15" thickBot="1" x14ac:dyDescent="0.35">
      <c r="C130" s="175">
        <v>66</v>
      </c>
      <c r="D130" s="17">
        <f>((IF(Blad2!E54&lt;&gt;"",(D129*(1+(('Arnoud VDAB Pensioenopbouw'!$C$19)/100)))*(1+Blad2!E54/100),D129*(1+(('Arnoud VDAB Pensioenopbouw'!$C$19)/100))))*(1+$L$4/100))*N130</f>
        <v>76592.600936325893</v>
      </c>
      <c r="E130" s="17">
        <f>(E129*(1+'Arnoud VDAB Pensioenopbouw'!$G$19/100))*(1+$L$4/100)</f>
        <v>36806.820305807923</v>
      </c>
      <c r="F130" s="44">
        <f t="shared" si="18"/>
        <v>39785.780630517969</v>
      </c>
      <c r="G130" s="45">
        <f>'Arnoud VDAB Pensioenopbouw'!$D$19</f>
        <v>26.25</v>
      </c>
      <c r="H130" s="46">
        <f>F130*('Arnoud VDAB Pensioenopbouw'!$D$19/100)*(N130)</f>
        <v>10443.767415510967</v>
      </c>
      <c r="I130" s="47">
        <f>1+'Arnoud VDAB Pensioenopbouw'!$Q$19/100</f>
        <v>1.0269999999999999</v>
      </c>
      <c r="J130" s="21">
        <f>(Blad1!$C$71-C130)+$J$79</f>
        <v>1</v>
      </c>
      <c r="K130" s="42">
        <f>H130*((1+'Arnoud VDAB Pensioenopbouw'!$Q$19/100)^J130)*(N130)</f>
        <v>10725.749135729762</v>
      </c>
      <c r="L130" s="49">
        <f t="shared" si="19"/>
        <v>592528.27609495085</v>
      </c>
      <c r="M130" s="172"/>
      <c r="N130" s="172">
        <f t="shared" si="20"/>
        <v>1</v>
      </c>
      <c r="P130" s="108">
        <f>$F130*('Arnoud VDAB Pensioenopbouw'!$E$19*((100-(($C130-20)*($V$14)))/100))/100</f>
        <v>745.98338682221186</v>
      </c>
      <c r="Q130" s="105">
        <f t="shared" si="21"/>
        <v>23045.152727932775</v>
      </c>
      <c r="R130" s="62">
        <f>P130*((1+'Arnoud VDAB Pensioenopbouw'!$J$19/100)^($C$136-C130))</f>
        <v>766.1249382664115</v>
      </c>
      <c r="S130" s="49">
        <f t="shared" si="22"/>
        <v>42323.448292496476</v>
      </c>
      <c r="T130" s="39">
        <f>((K130/'Arnoud VDAB Pensioenopbouw'!$M$15)/R130)*100</f>
        <v>90.322580645161295</v>
      </c>
    </row>
    <row r="131" spans="1:20" ht="15" thickBot="1" x14ac:dyDescent="0.35">
      <c r="C131" s="175">
        <v>67</v>
      </c>
      <c r="D131" s="17">
        <f>((IF(Blad2!E55&lt;&gt;"",(D130*(1+(('Arnoud VDAB Pensioenopbouw'!$C$19)/100)))*(1+Blad2!E55/100),D130*(1+(('Arnoud VDAB Pensioenopbouw'!$C$19)/100))))*(1+$L$4/100))*N131</f>
        <v>78124.452955052417</v>
      </c>
      <c r="E131" s="17">
        <f>(E130*(1+'Arnoud VDAB Pensioenopbouw'!$G$19/100))*(1+$L$4/100)</f>
        <v>37542.956711924082</v>
      </c>
      <c r="F131" s="44">
        <f t="shared" si="18"/>
        <v>40581.496243128335</v>
      </c>
      <c r="G131" s="45">
        <f>'Arnoud VDAB Pensioenopbouw'!$D$19</f>
        <v>26.25</v>
      </c>
      <c r="H131" s="46">
        <f>F131*('Arnoud VDAB Pensioenopbouw'!$D$19/100)*(N131)</f>
        <v>10652.642763821188</v>
      </c>
      <c r="I131" s="47">
        <f>1+'Arnoud VDAB Pensioenopbouw'!$Q$19/100</f>
        <v>1.0269999999999999</v>
      </c>
      <c r="J131" s="21">
        <f>(Blad1!$C$71-C131)+$J$79</f>
        <v>0</v>
      </c>
      <c r="K131" s="42">
        <f>H131*((1+'Arnoud VDAB Pensioenopbouw'!$Q$19/100)^J131)*(N131)</f>
        <v>10652.642763821188</v>
      </c>
      <c r="L131" s="49">
        <f t="shared" si="19"/>
        <v>603180.91885877203</v>
      </c>
      <c r="M131" s="172"/>
      <c r="N131" s="172">
        <f t="shared" si="20"/>
        <v>1</v>
      </c>
      <c r="P131" s="108">
        <f>$F131*('Arnoud VDAB Pensioenopbouw'!$E$19*((100-(($C131-20)*($V$14)))/100))/100</f>
        <v>760.90305455865632</v>
      </c>
      <c r="Q131" s="105">
        <f t="shared" si="21"/>
        <v>23806.055782491432</v>
      </c>
      <c r="R131" s="62">
        <f>P131*((1+'Arnoud VDAB Pensioenopbouw'!$J$19/100)^($C$136-C131))</f>
        <v>760.90305455865632</v>
      </c>
      <c r="S131" s="49">
        <f t="shared" si="22"/>
        <v>43084.351347055133</v>
      </c>
      <c r="T131" s="39">
        <f>((K131/'Arnoud VDAB Pensioenopbouw'!$M$15)/R131)*100</f>
        <v>90.322580645161281</v>
      </c>
    </row>
    <row r="132" spans="1:20" ht="15" thickBot="1" x14ac:dyDescent="0.35">
      <c r="C132" s="175">
        <v>68</v>
      </c>
      <c r="D132" s="17">
        <f>((IF(Blad2!E56&lt;&gt;"",(D131*(1+(('Arnoud VDAB Pensioenopbouw'!$C$19)/100)))*(1+Blad2!E56/100),D131*(1+(('Arnoud VDAB Pensioenopbouw'!$C$19)/100))))*(1+$L$4/100))*N132</f>
        <v>7.9686942014153463E-3</v>
      </c>
      <c r="E132" s="17">
        <f>(E131*(1+'Arnoud VDAB Pensioenopbouw'!$G$19/100))*(1+$L$4/100)</f>
        <v>38293.815846162564</v>
      </c>
      <c r="F132" s="44">
        <f t="shared" si="18"/>
        <v>-3.8293807877468359E-3</v>
      </c>
      <c r="G132" s="45">
        <f>'Arnoud VDAB Pensioenopbouw'!$D$19</f>
        <v>26.25</v>
      </c>
      <c r="H132" s="46">
        <f>F132*('Arnoud VDAB Pensioenopbouw'!$D$19/100)*(N132)</f>
        <v>-1.0052124567835444E-10</v>
      </c>
      <c r="I132" s="47">
        <f>1+'Arnoud VDAB Pensioenopbouw'!$Q$19/100</f>
        <v>1.0269999999999999</v>
      </c>
      <c r="J132" s="21">
        <f>(Blad1!$C$71-C132)+$J$79</f>
        <v>-1</v>
      </c>
      <c r="K132" s="42">
        <f>H132*((1+'Arnoud VDAB Pensioenopbouw'!$Q$19/100)^J132)*(N132)</f>
        <v>-9.7878525490121185E-18</v>
      </c>
      <c r="L132" s="49">
        <f t="shared" si="19"/>
        <v>6.0318091885877202E-2</v>
      </c>
      <c r="M132" s="172"/>
      <c r="N132" s="172">
        <f t="shared" si="20"/>
        <v>9.9999999999999995E-8</v>
      </c>
      <c r="P132" s="108">
        <f>$F132*('Arnoud VDAB Pensioenopbouw'!$E$19*((100-(($C132-20)*($V$14)))/100))/100</f>
        <v>-7.1800889770253174E-5</v>
      </c>
      <c r="Q132" s="105">
        <f t="shared" si="21"/>
        <v>2.3806055710690541E-3</v>
      </c>
      <c r="R132" s="62">
        <f>P132*((1+'Arnoud VDAB Pensioenopbouw'!$J$19/100)^($C$136-C132))</f>
        <v>-6.9913232492943699E-5</v>
      </c>
      <c r="S132" s="49">
        <f t="shared" si="22"/>
        <v>4.3084351277141893E-3</v>
      </c>
      <c r="T132" s="39">
        <f>((K132/'Arnoud VDAB Pensioenopbouw'!$M$15)/R132)*100</f>
        <v>9.0322580645161284E-13</v>
      </c>
    </row>
    <row r="133" spans="1:20" ht="15" thickBot="1" x14ac:dyDescent="0.35">
      <c r="C133" s="175">
        <v>69</v>
      </c>
      <c r="D133" s="17">
        <f>((IF(Blad2!E57&lt;&gt;"",(D132*(1+(('Arnoud VDAB Pensioenopbouw'!$C$19)/100)))*(1+Blad2!E57/100),D132*(1+(('Arnoud VDAB Pensioenopbouw'!$C$19)/100))))*(1+$L$4/100))*N133</f>
        <v>8.1280680854436526E-10</v>
      </c>
      <c r="E133" s="17">
        <f>(E132*(1+'Arnoud VDAB Pensioenopbouw'!$G$19/100))*(1+$L$4/100)</f>
        <v>39059.69216308582</v>
      </c>
      <c r="F133" s="44">
        <f t="shared" si="18"/>
        <v>-3.9059692163085002E-3</v>
      </c>
      <c r="G133" s="45">
        <f>'Arnoud VDAB Pensioenopbouw'!$D$19</f>
        <v>26.25</v>
      </c>
      <c r="H133" s="46">
        <f>F133*('Arnoud VDAB Pensioenopbouw'!$D$19/100)*(N133)</f>
        <v>-1.0253169192809813E-10</v>
      </c>
      <c r="I133" s="47">
        <f>1+'Arnoud VDAB Pensioenopbouw'!$Q$19/100</f>
        <v>1.0269999999999999</v>
      </c>
      <c r="J133" s="21">
        <f>(Blad1!$C$71-C133)+$J$79</f>
        <v>-2</v>
      </c>
      <c r="K133" s="42">
        <f>H133*((1+'Arnoud VDAB Pensioenopbouw'!$Q$19/100)^J133)*(N133)</f>
        <v>-9.7211408739209913E-18</v>
      </c>
      <c r="L133" s="49">
        <f t="shared" si="19"/>
        <v>6.0318091885877194E-9</v>
      </c>
      <c r="M133" s="172"/>
      <c r="N133" s="172">
        <f t="shared" si="20"/>
        <v>9.9999999999999995E-8</v>
      </c>
      <c r="P133" s="108">
        <f>$F133*('Arnoud VDAB Pensioenopbouw'!$E$19*((100-(($C133-20)*($V$14)))/100))/100</f>
        <v>-7.3236922805784384E-5</v>
      </c>
      <c r="Q133" s="105">
        <f t="shared" si="21"/>
        <v>2.3073686482632696E-10</v>
      </c>
      <c r="R133" s="62">
        <f>P133*((1+'Arnoud VDAB Pensioenopbouw'!$J$19/100)^($C$136-C133))</f>
        <v>-6.9436720528007095E-5</v>
      </c>
      <c r="S133" s="49">
        <f t="shared" si="22"/>
        <v>4.2389984071861819E-10</v>
      </c>
      <c r="T133" s="39">
        <f>((K133/'Arnoud VDAB Pensioenopbouw'!$M$15)/R133)*100</f>
        <v>9.0322580645161274E-13</v>
      </c>
    </row>
    <row r="134" spans="1:20" ht="15" thickBot="1" x14ac:dyDescent="0.35">
      <c r="C134" s="175">
        <v>70</v>
      </c>
      <c r="D134" s="17">
        <f>((IF(Blad2!E58&lt;&gt;"",(D133*(1+(('Arnoud VDAB Pensioenopbouw'!$C$19)/100)))*(1+Blad2!E58/100),D133*(1+(('Arnoud VDAB Pensioenopbouw'!$C$19)/100))))*(1+$L$4/100))*N134</f>
        <v>8.2906294471525256E-17</v>
      </c>
      <c r="E134" s="17">
        <f>(E133*(1+'Arnoud VDAB Pensioenopbouw'!$G$19/100))*(1+$L$4/100)</f>
        <v>39840.886006347537</v>
      </c>
      <c r="F134" s="44">
        <f t="shared" si="18"/>
        <v>-3.9840886006347531E-3</v>
      </c>
      <c r="G134" s="45">
        <f>'Arnoud VDAB Pensioenopbouw'!$D$19</f>
        <v>26.25</v>
      </c>
      <c r="H134" s="46">
        <f>F134*('Arnoud VDAB Pensioenopbouw'!$D$19/100)*(N134)</f>
        <v>-1.0458232576666228E-10</v>
      </c>
      <c r="I134" s="47">
        <f>1+'Arnoud VDAB Pensioenopbouw'!$Q$19/100</f>
        <v>1.0269999999999999</v>
      </c>
      <c r="J134" s="21">
        <f>(Blad1!$C$71-C134)+$J$79</f>
        <v>-3</v>
      </c>
      <c r="K134" s="42">
        <f>H134*((1+'Arnoud VDAB Pensioenopbouw'!$Q$19/100)^J134)*(N134)</f>
        <v>-9.6548818806228044E-18</v>
      </c>
      <c r="L134" s="49">
        <f t="shared" si="19"/>
        <v>6.0318091789328375E-16</v>
      </c>
      <c r="M134" s="172"/>
      <c r="N134" s="172">
        <f t="shared" si="20"/>
        <v>9.9999999999999995E-8</v>
      </c>
      <c r="P134" s="108">
        <f>$F134*('Arnoud VDAB Pensioenopbouw'!$E$19*((100-(($C134-20)*($V$14)))/100))/100</f>
        <v>-7.4701661261901615E-5</v>
      </c>
      <c r="Q134" s="105">
        <f t="shared" si="21"/>
        <v>-7.4701430525036783E-12</v>
      </c>
      <c r="R134" s="62">
        <f>P134*((1+'Arnoud VDAB Pensioenopbouw'!$J$19/100)^($C$136-C134))</f>
        <v>-6.8963442004448596E-5</v>
      </c>
      <c r="S134" s="49">
        <f t="shared" si="22"/>
        <v>-6.896301810460788E-12</v>
      </c>
      <c r="T134" s="39">
        <f>((K134/'Arnoud VDAB Pensioenopbouw'!$M$15)/R134)*100</f>
        <v>9.0322580645161304E-13</v>
      </c>
    </row>
    <row r="135" spans="1:20" ht="15" thickBot="1" x14ac:dyDescent="0.35">
      <c r="C135" s="175">
        <v>71</v>
      </c>
      <c r="D135" s="17">
        <f>((IF(Blad2!E59&lt;&gt;"",(D134*(1+(('Arnoud VDAB Pensioenopbouw'!$C$19)/100)))*(1+Blad2!E59/100),D134*(1+(('Arnoud VDAB Pensioenopbouw'!$C$19)/100))))*(1+$L$4/100))*N135</f>
        <v>8.4564420360955753E-24</v>
      </c>
      <c r="E135" s="17">
        <f>(E134*(1+'Arnoud VDAB Pensioenopbouw'!$G$19/100))*(1+$L$4/100)</f>
        <v>40637.703726474487</v>
      </c>
      <c r="F135" s="44">
        <f t="shared" si="18"/>
        <v>-4.0637703726474489E-3</v>
      </c>
      <c r="G135" s="45">
        <f>'Arnoud VDAB Pensioenopbouw'!$D$19</f>
        <v>26.25</v>
      </c>
      <c r="H135" s="46">
        <f>F135*('Arnoud VDAB Pensioenopbouw'!$D$19/100)*(N135)</f>
        <v>-1.0667397228199552E-10</v>
      </c>
      <c r="I135" s="47">
        <f>1+'Arnoud VDAB Pensioenopbouw'!$Q$19/100</f>
        <v>1.0269999999999999</v>
      </c>
      <c r="J135" s="21">
        <f>(Blad1!$C$71-C135)+$J$79</f>
        <v>-4</v>
      </c>
      <c r="K135" s="42">
        <f>H135*((1+'Arnoud VDAB Pensioenopbouw'!$Q$19/100)^J135)</f>
        <v>-9.5890745065581905E-11</v>
      </c>
      <c r="L135" s="49">
        <f t="shared" si="19"/>
        <v>-9.5890141884663996E-18</v>
      </c>
      <c r="M135" s="172"/>
      <c r="N135" s="172">
        <f t="shared" si="20"/>
        <v>9.9999999999999995E-8</v>
      </c>
      <c r="P135" s="108">
        <f>$F135*('Arnoud VDAB Pensioenopbouw'!$E$19*((100-(($C135-20)*($V$14)))/100))/100</f>
        <v>-7.6195694487139669E-5</v>
      </c>
      <c r="Q135" s="105">
        <f t="shared" si="21"/>
        <v>-7.6195701957282706E-12</v>
      </c>
      <c r="R135" s="62">
        <f>P135*((1+'Arnoud VDAB Pensioenopbouw'!$J$19/100)^($C$136-C135))</f>
        <v>-6.8493389332558512E-5</v>
      </c>
      <c r="S135" s="49">
        <f t="shared" si="22"/>
        <v>-6.8493396228860319E-12</v>
      </c>
      <c r="T135" s="39">
        <f>((K135/'Arnoud VDAB Pensioenopbouw'!$M$15)/R135)*100</f>
        <v>9.0322580645161279E-6</v>
      </c>
    </row>
    <row r="136" spans="1:20" ht="15" thickBot="1" x14ac:dyDescent="0.35">
      <c r="C136" s="63">
        <f>Blad1!C71</f>
        <v>67</v>
      </c>
      <c r="D136" s="24"/>
      <c r="E136" s="299" t="s">
        <v>11</v>
      </c>
      <c r="F136" s="299"/>
      <c r="G136" s="299"/>
      <c r="H136" s="299"/>
      <c r="I136" s="299"/>
      <c r="J136" s="24">
        <f>(Blad1!$C$71-C136)+$J$79</f>
        <v>0</v>
      </c>
      <c r="K136" s="24"/>
      <c r="L136" s="25"/>
      <c r="M136" s="25"/>
      <c r="N136" s="25">
        <v>0</v>
      </c>
    </row>
    <row r="137" spans="1:20" ht="15" thickBot="1" x14ac:dyDescent="0.35">
      <c r="C137" s="50" t="s">
        <v>12</v>
      </c>
      <c r="D137" s="24"/>
      <c r="E137" s="300" t="s">
        <v>3</v>
      </c>
      <c r="F137" s="301"/>
      <c r="G137" s="24"/>
      <c r="H137" s="49">
        <f>SUM(H84:H135)</f>
        <v>333284.78095487959</v>
      </c>
      <c r="I137" s="24"/>
      <c r="J137" s="24"/>
      <c r="K137" s="49">
        <f>SUM(K84:K135)</f>
        <v>603180.91885877191</v>
      </c>
      <c r="L137" s="25"/>
      <c r="M137" s="25"/>
      <c r="N137" s="25"/>
      <c r="P137" s="49">
        <f>SUM(P84:P135)</f>
        <v>23806.055486556266</v>
      </c>
      <c r="R137" s="49">
        <f>SUM(R84:R135)</f>
        <v>43084.351070248347</v>
      </c>
      <c r="T137" s="51">
        <f>((K137/'Arnoud VDAB Pensioenopbouw'!$M$15)/R137)*100</f>
        <v>90.322581225462557</v>
      </c>
    </row>
    <row r="138" spans="1:20" ht="15" thickBot="1" x14ac:dyDescent="0.35"/>
    <row r="139" spans="1:20" ht="15" thickBot="1" x14ac:dyDescent="0.35">
      <c r="A139" s="50" t="s">
        <v>102</v>
      </c>
      <c r="C139" s="159">
        <v>61</v>
      </c>
      <c r="D139" s="64">
        <f t="shared" ref="D139:D149" si="23">IF(($N139=1),(D125),0)</f>
        <v>0</v>
      </c>
      <c r="E139" s="146"/>
      <c r="F139" s="64">
        <f t="shared" ref="F139:F149" si="24">IF(($N139=1),(F125),0)</f>
        <v>0</v>
      </c>
      <c r="G139" s="64">
        <f t="shared" ref="G139:I149" si="25">IF(($N139=1),(G125),0)</f>
        <v>0</v>
      </c>
      <c r="H139" s="64">
        <f t="shared" ref="H139:H149" si="26">IF(($N139=1),(H125),0)</f>
        <v>0</v>
      </c>
      <c r="I139" s="179">
        <f t="shared" si="25"/>
        <v>0</v>
      </c>
      <c r="J139" s="146"/>
      <c r="K139" s="64">
        <f t="shared" ref="K139:L149" si="27">IF(($N139=1),(K125),0)</f>
        <v>0</v>
      </c>
      <c r="L139" s="64">
        <f t="shared" si="27"/>
        <v>0</v>
      </c>
      <c r="M139" s="180"/>
      <c r="N139" s="182">
        <f>IF(($C$71=C139),1,0)</f>
        <v>0</v>
      </c>
      <c r="P139" s="64">
        <f t="shared" ref="P139:T149" si="28">IF(($N139=1),(P125),0)</f>
        <v>0</v>
      </c>
      <c r="Q139" s="64">
        <f t="shared" si="28"/>
        <v>0</v>
      </c>
      <c r="R139" s="64">
        <f t="shared" si="28"/>
        <v>0</v>
      </c>
      <c r="S139" s="64">
        <f t="shared" si="28"/>
        <v>0</v>
      </c>
      <c r="T139" s="64">
        <f t="shared" si="28"/>
        <v>0</v>
      </c>
    </row>
    <row r="140" spans="1:20" ht="15" thickBot="1" x14ac:dyDescent="0.35">
      <c r="A140" s="50" t="s">
        <v>103</v>
      </c>
      <c r="C140" s="175">
        <v>62</v>
      </c>
      <c r="D140" s="64">
        <f t="shared" si="23"/>
        <v>0</v>
      </c>
      <c r="E140" s="146"/>
      <c r="F140" s="64">
        <f t="shared" si="24"/>
        <v>0</v>
      </c>
      <c r="G140" s="64">
        <f t="shared" si="25"/>
        <v>0</v>
      </c>
      <c r="H140" s="64">
        <f t="shared" si="26"/>
        <v>0</v>
      </c>
      <c r="I140" s="179">
        <f t="shared" si="25"/>
        <v>0</v>
      </c>
      <c r="J140" s="146"/>
      <c r="K140" s="64">
        <f t="shared" si="27"/>
        <v>0</v>
      </c>
      <c r="L140" s="64">
        <f t="shared" si="27"/>
        <v>0</v>
      </c>
      <c r="M140" s="180"/>
      <c r="N140" s="182">
        <f t="shared" ref="N140:N149" si="29">IF(($C$71=C140),1,0)</f>
        <v>0</v>
      </c>
      <c r="P140" s="64">
        <f t="shared" si="28"/>
        <v>0</v>
      </c>
      <c r="Q140" s="64">
        <f t="shared" si="28"/>
        <v>0</v>
      </c>
      <c r="R140" s="64">
        <f t="shared" si="28"/>
        <v>0</v>
      </c>
      <c r="S140" s="64">
        <f t="shared" si="28"/>
        <v>0</v>
      </c>
      <c r="T140" s="64">
        <f t="shared" si="28"/>
        <v>0</v>
      </c>
    </row>
    <row r="141" spans="1:20" ht="15" thickBot="1" x14ac:dyDescent="0.35">
      <c r="A141" s="50" t="s">
        <v>104</v>
      </c>
      <c r="C141" s="175">
        <v>63</v>
      </c>
      <c r="D141" s="64">
        <f t="shared" si="23"/>
        <v>0</v>
      </c>
      <c r="E141" s="146"/>
      <c r="F141" s="64">
        <f t="shared" si="24"/>
        <v>0</v>
      </c>
      <c r="G141" s="64">
        <f t="shared" si="25"/>
        <v>0</v>
      </c>
      <c r="H141" s="64">
        <f t="shared" si="26"/>
        <v>0</v>
      </c>
      <c r="I141" s="179">
        <f t="shared" si="25"/>
        <v>0</v>
      </c>
      <c r="J141" s="146"/>
      <c r="K141" s="64">
        <f t="shared" si="27"/>
        <v>0</v>
      </c>
      <c r="L141" s="64">
        <f t="shared" si="27"/>
        <v>0</v>
      </c>
      <c r="M141" s="180"/>
      <c r="N141" s="182">
        <f t="shared" si="29"/>
        <v>0</v>
      </c>
      <c r="P141" s="64">
        <f t="shared" si="28"/>
        <v>0</v>
      </c>
      <c r="Q141" s="64">
        <f t="shared" si="28"/>
        <v>0</v>
      </c>
      <c r="R141" s="64">
        <f t="shared" si="28"/>
        <v>0</v>
      </c>
      <c r="S141" s="64">
        <f t="shared" si="28"/>
        <v>0</v>
      </c>
      <c r="T141" s="64">
        <f t="shared" si="28"/>
        <v>0</v>
      </c>
    </row>
    <row r="142" spans="1:20" ht="15" thickBot="1" x14ac:dyDescent="0.35">
      <c r="A142" s="50" t="s">
        <v>105</v>
      </c>
      <c r="C142" s="175">
        <v>64</v>
      </c>
      <c r="D142" s="64">
        <f t="shared" si="23"/>
        <v>0</v>
      </c>
      <c r="E142" s="146"/>
      <c r="F142" s="64">
        <f t="shared" si="24"/>
        <v>0</v>
      </c>
      <c r="G142" s="64">
        <f t="shared" si="25"/>
        <v>0</v>
      </c>
      <c r="H142" s="64">
        <f t="shared" si="26"/>
        <v>0</v>
      </c>
      <c r="I142" s="179">
        <f t="shared" si="25"/>
        <v>0</v>
      </c>
      <c r="J142" s="146"/>
      <c r="K142" s="64">
        <f t="shared" si="27"/>
        <v>0</v>
      </c>
      <c r="L142" s="64">
        <f t="shared" si="27"/>
        <v>0</v>
      </c>
      <c r="M142" s="180"/>
      <c r="N142" s="182">
        <f t="shared" si="29"/>
        <v>0</v>
      </c>
      <c r="P142" s="64">
        <f t="shared" si="28"/>
        <v>0</v>
      </c>
      <c r="Q142" s="64">
        <f t="shared" si="28"/>
        <v>0</v>
      </c>
      <c r="R142" s="64">
        <f t="shared" si="28"/>
        <v>0</v>
      </c>
      <c r="S142" s="64">
        <f t="shared" si="28"/>
        <v>0</v>
      </c>
      <c r="T142" s="64">
        <f t="shared" si="28"/>
        <v>0</v>
      </c>
    </row>
    <row r="143" spans="1:20" ht="15" thickBot="1" x14ac:dyDescent="0.35">
      <c r="A143" s="50" t="s">
        <v>106</v>
      </c>
      <c r="C143" s="175">
        <v>65</v>
      </c>
      <c r="D143" s="64">
        <f t="shared" si="23"/>
        <v>0</v>
      </c>
      <c r="E143" s="146"/>
      <c r="F143" s="64">
        <f t="shared" si="24"/>
        <v>0</v>
      </c>
      <c r="G143" s="64">
        <f t="shared" si="25"/>
        <v>0</v>
      </c>
      <c r="H143" s="64">
        <f t="shared" si="26"/>
        <v>0</v>
      </c>
      <c r="I143" s="179">
        <f t="shared" si="25"/>
        <v>0</v>
      </c>
      <c r="J143" s="146"/>
      <c r="K143" s="64">
        <f t="shared" si="27"/>
        <v>0</v>
      </c>
      <c r="L143" s="64">
        <f t="shared" si="27"/>
        <v>0</v>
      </c>
      <c r="M143" s="180"/>
      <c r="N143" s="182">
        <f t="shared" si="29"/>
        <v>0</v>
      </c>
      <c r="P143" s="64">
        <f t="shared" si="28"/>
        <v>0</v>
      </c>
      <c r="Q143" s="64">
        <f t="shared" si="28"/>
        <v>0</v>
      </c>
      <c r="R143" s="64">
        <f t="shared" si="28"/>
        <v>0</v>
      </c>
      <c r="S143" s="64">
        <f t="shared" si="28"/>
        <v>0</v>
      </c>
      <c r="T143" s="64">
        <f t="shared" si="28"/>
        <v>0</v>
      </c>
    </row>
    <row r="144" spans="1:20" ht="15" thickBot="1" x14ac:dyDescent="0.35">
      <c r="A144" s="50" t="s">
        <v>12</v>
      </c>
      <c r="C144" s="175">
        <v>66</v>
      </c>
      <c r="D144" s="64">
        <f t="shared" si="23"/>
        <v>0</v>
      </c>
      <c r="E144" s="146"/>
      <c r="F144" s="64">
        <f t="shared" si="24"/>
        <v>0</v>
      </c>
      <c r="G144" s="64">
        <f t="shared" si="25"/>
        <v>0</v>
      </c>
      <c r="H144" s="64">
        <f t="shared" si="26"/>
        <v>0</v>
      </c>
      <c r="I144" s="179">
        <f t="shared" si="25"/>
        <v>0</v>
      </c>
      <c r="J144" s="146"/>
      <c r="K144" s="64">
        <f t="shared" si="27"/>
        <v>0</v>
      </c>
      <c r="L144" s="64">
        <f t="shared" si="27"/>
        <v>0</v>
      </c>
      <c r="M144" s="180"/>
      <c r="N144" s="182">
        <f t="shared" si="29"/>
        <v>0</v>
      </c>
      <c r="P144" s="64">
        <f t="shared" si="28"/>
        <v>0</v>
      </c>
      <c r="Q144" s="64">
        <f t="shared" si="28"/>
        <v>0</v>
      </c>
      <c r="R144" s="64">
        <f t="shared" si="28"/>
        <v>0</v>
      </c>
      <c r="S144" s="64">
        <f t="shared" si="28"/>
        <v>0</v>
      </c>
      <c r="T144" s="64">
        <f t="shared" si="28"/>
        <v>0</v>
      </c>
    </row>
    <row r="145" spans="1:20" ht="15" thickBot="1" x14ac:dyDescent="0.35">
      <c r="A145" s="50" t="s">
        <v>107</v>
      </c>
      <c r="C145" s="175">
        <v>67</v>
      </c>
      <c r="D145" s="64">
        <f t="shared" si="23"/>
        <v>78124.452955052417</v>
      </c>
      <c r="E145" s="146"/>
      <c r="F145" s="64">
        <f t="shared" si="24"/>
        <v>40581.496243128335</v>
      </c>
      <c r="G145" s="64">
        <f t="shared" si="25"/>
        <v>26.25</v>
      </c>
      <c r="H145" s="64">
        <f t="shared" si="26"/>
        <v>10652.642763821188</v>
      </c>
      <c r="I145" s="179">
        <f t="shared" si="25"/>
        <v>1.0269999999999999</v>
      </c>
      <c r="J145" s="146"/>
      <c r="K145" s="64">
        <f t="shared" si="27"/>
        <v>10652.642763821188</v>
      </c>
      <c r="L145" s="64">
        <f t="shared" si="27"/>
        <v>603180.91885877203</v>
      </c>
      <c r="M145" s="180"/>
      <c r="N145" s="182">
        <f t="shared" si="29"/>
        <v>1</v>
      </c>
      <c r="P145" s="64">
        <f t="shared" si="28"/>
        <v>760.90305455865632</v>
      </c>
      <c r="Q145" s="64">
        <f t="shared" si="28"/>
        <v>23806.055782491432</v>
      </c>
      <c r="R145" s="64">
        <f t="shared" si="28"/>
        <v>760.90305455865632</v>
      </c>
      <c r="S145" s="64">
        <f t="shared" si="28"/>
        <v>43084.351347055133</v>
      </c>
      <c r="T145" s="64">
        <f t="shared" si="28"/>
        <v>90.322580645161281</v>
      </c>
    </row>
    <row r="146" spans="1:20" ht="15" thickBot="1" x14ac:dyDescent="0.35">
      <c r="A146" s="50" t="s">
        <v>108</v>
      </c>
      <c r="C146" s="175">
        <v>68</v>
      </c>
      <c r="D146" s="64">
        <f t="shared" si="23"/>
        <v>0</v>
      </c>
      <c r="E146" s="146"/>
      <c r="F146" s="64">
        <f t="shared" si="24"/>
        <v>0</v>
      </c>
      <c r="G146" s="64">
        <f t="shared" si="25"/>
        <v>0</v>
      </c>
      <c r="H146" s="64">
        <f t="shared" si="26"/>
        <v>0</v>
      </c>
      <c r="I146" s="179">
        <f t="shared" si="25"/>
        <v>0</v>
      </c>
      <c r="J146" s="146"/>
      <c r="K146" s="64">
        <f t="shared" si="27"/>
        <v>0</v>
      </c>
      <c r="L146" s="64">
        <f t="shared" si="27"/>
        <v>0</v>
      </c>
      <c r="M146" s="180"/>
      <c r="N146" s="182">
        <f t="shared" si="29"/>
        <v>0</v>
      </c>
      <c r="P146" s="64">
        <f t="shared" si="28"/>
        <v>0</v>
      </c>
      <c r="Q146" s="64">
        <f t="shared" si="28"/>
        <v>0</v>
      </c>
      <c r="R146" s="64">
        <f t="shared" si="28"/>
        <v>0</v>
      </c>
      <c r="S146" s="64">
        <f t="shared" si="28"/>
        <v>0</v>
      </c>
      <c r="T146" s="64">
        <f t="shared" si="28"/>
        <v>0</v>
      </c>
    </row>
    <row r="147" spans="1:20" ht="15" thickBot="1" x14ac:dyDescent="0.35">
      <c r="A147" s="50" t="s">
        <v>109</v>
      </c>
      <c r="C147" s="175">
        <v>69</v>
      </c>
      <c r="D147" s="64">
        <f t="shared" si="23"/>
        <v>0</v>
      </c>
      <c r="E147" s="146"/>
      <c r="F147" s="64">
        <f t="shared" si="24"/>
        <v>0</v>
      </c>
      <c r="G147" s="64">
        <f t="shared" si="25"/>
        <v>0</v>
      </c>
      <c r="H147" s="64">
        <f t="shared" si="26"/>
        <v>0</v>
      </c>
      <c r="I147" s="179">
        <f t="shared" si="25"/>
        <v>0</v>
      </c>
      <c r="J147" s="146"/>
      <c r="K147" s="64">
        <f t="shared" si="27"/>
        <v>0</v>
      </c>
      <c r="L147" s="64">
        <f t="shared" si="27"/>
        <v>0</v>
      </c>
      <c r="M147" s="180"/>
      <c r="N147" s="182">
        <f t="shared" si="29"/>
        <v>0</v>
      </c>
      <c r="P147" s="64">
        <f t="shared" si="28"/>
        <v>0</v>
      </c>
      <c r="Q147" s="64">
        <f t="shared" si="28"/>
        <v>0</v>
      </c>
      <c r="R147" s="64">
        <f t="shared" si="28"/>
        <v>0</v>
      </c>
      <c r="S147" s="64">
        <f t="shared" si="28"/>
        <v>0</v>
      </c>
      <c r="T147" s="64">
        <f t="shared" si="28"/>
        <v>0</v>
      </c>
    </row>
    <row r="148" spans="1:20" ht="15" thickBot="1" x14ac:dyDescent="0.35">
      <c r="A148" s="50" t="s">
        <v>110</v>
      </c>
      <c r="C148" s="175">
        <v>70</v>
      </c>
      <c r="D148" s="64">
        <f t="shared" si="23"/>
        <v>0</v>
      </c>
      <c r="E148" s="146"/>
      <c r="F148" s="64">
        <f t="shared" si="24"/>
        <v>0</v>
      </c>
      <c r="G148" s="64">
        <f t="shared" si="25"/>
        <v>0</v>
      </c>
      <c r="H148" s="64">
        <f t="shared" si="26"/>
        <v>0</v>
      </c>
      <c r="I148" s="179">
        <f t="shared" si="25"/>
        <v>0</v>
      </c>
      <c r="J148" s="146"/>
      <c r="K148" s="64">
        <f t="shared" si="27"/>
        <v>0</v>
      </c>
      <c r="L148" s="64">
        <f t="shared" si="27"/>
        <v>0</v>
      </c>
      <c r="M148" s="180"/>
      <c r="N148" s="182">
        <f t="shared" si="29"/>
        <v>0</v>
      </c>
      <c r="P148" s="64">
        <f t="shared" si="28"/>
        <v>0</v>
      </c>
      <c r="Q148" s="64">
        <f t="shared" si="28"/>
        <v>0</v>
      </c>
      <c r="R148" s="64">
        <f t="shared" si="28"/>
        <v>0</v>
      </c>
      <c r="S148" s="64">
        <f t="shared" si="28"/>
        <v>0</v>
      </c>
      <c r="T148" s="64">
        <f t="shared" si="28"/>
        <v>0</v>
      </c>
    </row>
    <row r="149" spans="1:20" ht="15" thickBot="1" x14ac:dyDescent="0.35">
      <c r="A149" s="50" t="s">
        <v>111</v>
      </c>
      <c r="C149" s="175">
        <v>71</v>
      </c>
      <c r="D149" s="64">
        <f t="shared" si="23"/>
        <v>0</v>
      </c>
      <c r="E149" s="146"/>
      <c r="F149" s="64">
        <f t="shared" si="24"/>
        <v>0</v>
      </c>
      <c r="G149" s="64">
        <f t="shared" si="25"/>
        <v>0</v>
      </c>
      <c r="H149" s="64">
        <f t="shared" si="26"/>
        <v>0</v>
      </c>
      <c r="I149" s="179">
        <f t="shared" si="25"/>
        <v>0</v>
      </c>
      <c r="J149" s="146"/>
      <c r="K149" s="64">
        <f t="shared" si="27"/>
        <v>0</v>
      </c>
      <c r="L149" s="64">
        <f t="shared" si="27"/>
        <v>0</v>
      </c>
      <c r="M149" s="180"/>
      <c r="N149" s="182">
        <f t="shared" si="29"/>
        <v>0</v>
      </c>
      <c r="P149" s="64">
        <f t="shared" si="28"/>
        <v>0</v>
      </c>
      <c r="Q149" s="64">
        <f t="shared" si="28"/>
        <v>0</v>
      </c>
      <c r="R149" s="64">
        <f t="shared" si="28"/>
        <v>0</v>
      </c>
      <c r="S149" s="64">
        <f t="shared" si="28"/>
        <v>0</v>
      </c>
      <c r="T149" s="64">
        <f t="shared" si="28"/>
        <v>0</v>
      </c>
    </row>
    <row r="150" spans="1:20" x14ac:dyDescent="0.3">
      <c r="A150" s="184">
        <f>C71+1</f>
        <v>68</v>
      </c>
      <c r="D150" s="64">
        <f>SUM(D139:D149)</f>
        <v>78124.452955052417</v>
      </c>
      <c r="E150" s="146"/>
      <c r="F150" s="64">
        <f>SUM(F139:F149)</f>
        <v>40581.496243128335</v>
      </c>
      <c r="G150" s="64">
        <f>SUM(G139:G149)</f>
        <v>26.25</v>
      </c>
      <c r="H150" s="64">
        <f>SUM(H139:H149)</f>
        <v>10652.642763821188</v>
      </c>
      <c r="I150" s="179">
        <f>SUM(I139:I149)</f>
        <v>1.0269999999999999</v>
      </c>
      <c r="J150" s="146"/>
      <c r="K150" s="64">
        <f>SUM(K139:K149)</f>
        <v>10652.642763821188</v>
      </c>
      <c r="L150" s="64">
        <f>SUM(L139:L149)</f>
        <v>603180.91885877203</v>
      </c>
      <c r="M150" s="180"/>
      <c r="N150" s="182">
        <v>1</v>
      </c>
      <c r="P150" s="64">
        <f>SUM(P139:P149)</f>
        <v>760.90305455865632</v>
      </c>
      <c r="Q150" s="64">
        <f>SUM(Q139:Q149)</f>
        <v>23806.055782491432</v>
      </c>
      <c r="R150" s="64">
        <f>SUM(R139:R149)</f>
        <v>760.90305455865632</v>
      </c>
      <c r="S150" s="64">
        <f>SUM(S139:S149)</f>
        <v>43084.351347055133</v>
      </c>
      <c r="T150" s="65">
        <f>SUM(T139:T149)</f>
        <v>90.322580645161281</v>
      </c>
    </row>
    <row r="151" spans="1:20" ht="15" thickBot="1" x14ac:dyDescent="0.35"/>
    <row r="152" spans="1:20" ht="15" thickBot="1" x14ac:dyDescent="0.35">
      <c r="C152" s="4"/>
      <c r="D152" s="5" t="s">
        <v>5</v>
      </c>
      <c r="E152" s="12" t="s">
        <v>6</v>
      </c>
      <c r="F152" s="4"/>
      <c r="G152" s="4"/>
      <c r="H152" s="4"/>
    </row>
    <row r="153" spans="1:20" ht="15" thickBot="1" x14ac:dyDescent="0.35">
      <c r="C153" s="4"/>
      <c r="D153" s="64">
        <f>'Arnoud VDAB Pensioenopbouw'!B19</f>
        <v>30802</v>
      </c>
      <c r="E153" s="64">
        <f>'Arnoud VDAB Pensioenopbouw'!F19</f>
        <v>14802</v>
      </c>
      <c r="F153" s="4"/>
      <c r="G153" s="10" t="s">
        <v>0</v>
      </c>
      <c r="H153" s="4"/>
      <c r="J153" s="5" t="s">
        <v>2</v>
      </c>
      <c r="K153" s="8" t="s">
        <v>17</v>
      </c>
      <c r="P153" s="10" t="s">
        <v>23</v>
      </c>
      <c r="R153" s="10" t="s">
        <v>27</v>
      </c>
    </row>
    <row r="154" spans="1:20" x14ac:dyDescent="0.3">
      <c r="C154" s="4"/>
      <c r="D154" s="5" t="s">
        <v>13</v>
      </c>
      <c r="E154" s="12" t="s">
        <v>13</v>
      </c>
      <c r="F154" s="4"/>
      <c r="G154" s="14" t="s">
        <v>16</v>
      </c>
      <c r="H154" s="4"/>
      <c r="J154" s="6" t="s">
        <v>9</v>
      </c>
      <c r="K154" s="68">
        <f>'Arnoud VDAB Pensioenopbouw'!Q19</f>
        <v>2.6999999999999913</v>
      </c>
      <c r="P154" s="69">
        <f>'Arnoud VDAB Pensioenopbouw'!E19</f>
        <v>1.875</v>
      </c>
      <c r="R154" s="68">
        <f>'Arnoud VDAB Pensioenopbouw'!J19</f>
        <v>2.7</v>
      </c>
    </row>
    <row r="155" spans="1:20" ht="15" thickBot="1" x14ac:dyDescent="0.35">
      <c r="C155" s="4"/>
      <c r="D155" s="65">
        <f>'Arnoud VDAB Pensioenopbouw'!C19</f>
        <v>0</v>
      </c>
      <c r="E155" s="65">
        <f>'Arnoud VDAB Pensioenopbouw'!G19</f>
        <v>0</v>
      </c>
      <c r="F155" s="4"/>
      <c r="G155" s="65">
        <f>'Arnoud VDAB Pensioenopbouw'!D19</f>
        <v>26.25</v>
      </c>
      <c r="H155" s="4"/>
      <c r="J155" s="6" t="s">
        <v>19</v>
      </c>
      <c r="K155" s="9" t="s">
        <v>18</v>
      </c>
      <c r="P155" s="11" t="s">
        <v>24</v>
      </c>
      <c r="R155" s="14" t="s">
        <v>26</v>
      </c>
    </row>
    <row r="156" spans="1:20" ht="15" thickBot="1" x14ac:dyDescent="0.35">
      <c r="C156" s="4"/>
      <c r="D156" s="7" t="s">
        <v>14</v>
      </c>
      <c r="E156" s="13" t="s">
        <v>15</v>
      </c>
      <c r="F156" s="4"/>
      <c r="G156" s="11" t="s">
        <v>20</v>
      </c>
      <c r="H156" s="4"/>
      <c r="J156" s="31">
        <f>IF('Arnoud VDAB Pensioenopbouw'!M19=("J"),J3,IF('Arnoud VDAB Pensioenopbouw'!M19=("j"),J3,0))</f>
        <v>0</v>
      </c>
      <c r="R156" s="11" t="s">
        <v>28</v>
      </c>
    </row>
    <row r="157" spans="1:20" x14ac:dyDescent="0.3">
      <c r="C157" s="4"/>
      <c r="D157" s="4"/>
      <c r="E157" s="4"/>
      <c r="F157" s="4"/>
      <c r="G157" s="4"/>
      <c r="H157" s="4"/>
    </row>
    <row r="158" spans="1:20" ht="15" thickBot="1" x14ac:dyDescent="0.35">
      <c r="C158" s="25"/>
      <c r="D158" s="25"/>
      <c r="H158" s="25"/>
      <c r="I158" s="25"/>
      <c r="J158" s="25"/>
      <c r="K158" s="25"/>
      <c r="L158" s="25"/>
      <c r="M158" s="25"/>
      <c r="N158" s="25"/>
    </row>
    <row r="159" spans="1:20" x14ac:dyDescent="0.3">
      <c r="C159" s="15" t="s">
        <v>46</v>
      </c>
      <c r="D159" s="40" t="s">
        <v>5</v>
      </c>
      <c r="E159" s="10" t="s">
        <v>6</v>
      </c>
      <c r="F159" s="26" t="s">
        <v>0</v>
      </c>
      <c r="G159" s="15" t="s">
        <v>0</v>
      </c>
      <c r="H159" s="15" t="s">
        <v>0</v>
      </c>
      <c r="I159" s="26" t="s">
        <v>1</v>
      </c>
      <c r="J159" s="26" t="s">
        <v>2</v>
      </c>
      <c r="K159" s="26" t="s">
        <v>21</v>
      </c>
      <c r="L159" s="26" t="s">
        <v>3</v>
      </c>
      <c r="M159" s="177"/>
      <c r="N159" s="177"/>
      <c r="P159" s="34" t="s">
        <v>0</v>
      </c>
      <c r="Q159" s="36" t="s">
        <v>47</v>
      </c>
      <c r="R159" s="36" t="s">
        <v>49</v>
      </c>
      <c r="S159" s="5" t="s">
        <v>51</v>
      </c>
      <c r="T159" s="34" t="s">
        <v>71</v>
      </c>
    </row>
    <row r="160" spans="1:20" ht="15" thickBot="1" x14ac:dyDescent="0.35">
      <c r="C160" s="28" t="s">
        <v>4</v>
      </c>
      <c r="D160" s="41" t="s">
        <v>37</v>
      </c>
      <c r="E160" s="28" t="s">
        <v>32</v>
      </c>
      <c r="F160" s="29" t="s">
        <v>33</v>
      </c>
      <c r="G160" s="28" t="s">
        <v>44</v>
      </c>
      <c r="H160" s="28" t="s">
        <v>7</v>
      </c>
      <c r="I160" s="29" t="s">
        <v>8</v>
      </c>
      <c r="J160" s="29" t="s">
        <v>9</v>
      </c>
      <c r="K160" s="29" t="s">
        <v>22</v>
      </c>
      <c r="L160" s="30" t="s">
        <v>10</v>
      </c>
      <c r="M160" s="177"/>
      <c r="N160" s="177"/>
      <c r="P160" s="35" t="s">
        <v>25</v>
      </c>
      <c r="Q160" s="61" t="s">
        <v>48</v>
      </c>
      <c r="R160" s="37" t="s">
        <v>50</v>
      </c>
      <c r="S160" s="27" t="s">
        <v>45</v>
      </c>
      <c r="T160" s="35" t="s">
        <v>70</v>
      </c>
    </row>
    <row r="161" spans="3:20" ht="15" thickBot="1" x14ac:dyDescent="0.35">
      <c r="C161" s="43">
        <v>20</v>
      </c>
      <c r="D161" s="44">
        <f>'Arnoud VDAB Pensioenopbouw'!B19</f>
        <v>30802</v>
      </c>
      <c r="E161" s="44">
        <f>'Arnoud VDAB Pensioenopbouw'!F19</f>
        <v>14802</v>
      </c>
      <c r="F161" s="44">
        <f t="shared" ref="F161" si="30">D161-E161</f>
        <v>16000</v>
      </c>
      <c r="G161" s="45">
        <f>'Arnoud VDAB Pensioenopbouw'!$D$19</f>
        <v>26.25</v>
      </c>
      <c r="H161" s="46">
        <f>F161*('Arnoud VDAB Pensioenopbouw'!$D$19/100)</f>
        <v>4200</v>
      </c>
      <c r="I161" s="47">
        <f>1+'Arnoud VDAB Pensioenopbouw'!$Q$19/100</f>
        <v>1.0269999999999999</v>
      </c>
      <c r="J161" s="48">
        <f>(Blad1!$C$71-C161)+$J$79</f>
        <v>47</v>
      </c>
      <c r="K161" s="42">
        <f>H161*((1+'Arnoud VDAB Pensioenopbouw'!$Q$19/100)^J161)</f>
        <v>14691.297031264798</v>
      </c>
      <c r="L161" s="46">
        <f>K161</f>
        <v>14691.297031264798</v>
      </c>
      <c r="M161" s="168"/>
      <c r="N161" s="168"/>
      <c r="P161" s="107">
        <f>$F84*('Arnoud VDAB Pensioenopbouw'!$E$19*((100-(($C84-25)*($V$14)))/100))/100</f>
        <v>300</v>
      </c>
      <c r="Q161" s="105">
        <f>P161</f>
        <v>300</v>
      </c>
      <c r="R161" s="52">
        <f>P161*((1+'Arnoud VDAB Pensioenopbouw'!$J$19/100)^($C$136-C161))</f>
        <v>1049.378359376057</v>
      </c>
      <c r="S161" s="53">
        <f>R161</f>
        <v>1049.378359376057</v>
      </c>
      <c r="T161" s="51">
        <f>((K161/'Arnoud VDAB Pensioenopbouw'!$M$15)/R161)*100</f>
        <v>90.322580645161281</v>
      </c>
    </row>
    <row r="162" spans="3:20" ht="15" thickBot="1" x14ac:dyDescent="0.35">
      <c r="C162" s="16">
        <v>21</v>
      </c>
      <c r="D162" s="17">
        <f>IF(Blad2!E9&lt;&gt;"",(D161*(1+(('Arnoud VDAB Pensioenopbouw'!$C$19)/100)))*(1+Blad2!E9/100),D161*(1+(('Arnoud VDAB Pensioenopbouw'!$C$19)/100)))</f>
        <v>30802</v>
      </c>
      <c r="E162" s="17">
        <f>(E161*(1+'Arnoud VDAB Pensioenopbouw'!$G$19/100))</f>
        <v>14802</v>
      </c>
      <c r="F162" s="17">
        <f t="shared" ref="F162:F202" si="31">D162-E162</f>
        <v>16000</v>
      </c>
      <c r="G162" s="18">
        <f>'Arnoud VDAB Pensioenopbouw'!$D$19</f>
        <v>26.25</v>
      </c>
      <c r="H162" s="19">
        <f>F162*('Arnoud VDAB Pensioenopbouw'!$D$19/100)</f>
        <v>4200</v>
      </c>
      <c r="I162" s="20">
        <f>1+'Arnoud VDAB Pensioenopbouw'!$Q$19/100</f>
        <v>1.0269999999999999</v>
      </c>
      <c r="J162" s="21">
        <f>(Blad1!$C$71-C162)+$J$79</f>
        <v>46</v>
      </c>
      <c r="K162" s="22">
        <f>H162*((1+'Arnoud VDAB Pensioenopbouw'!$Q$19/100)^J162)</f>
        <v>14305.060400452578</v>
      </c>
      <c r="L162" s="23">
        <f t="shared" ref="L162:L202" si="32">L161+K162</f>
        <v>28996.357431717377</v>
      </c>
      <c r="M162" s="178"/>
      <c r="N162" s="178"/>
      <c r="P162" s="108">
        <f>$F85*('Arnoud VDAB Pensioenopbouw'!$E$19*((100-(($C85-25)*($V$14)))/100))/100</f>
        <v>306</v>
      </c>
      <c r="Q162" s="106">
        <f t="shared" ref="Q162:Q202" si="33">P162+Q161</f>
        <v>606</v>
      </c>
      <c r="R162" s="62">
        <f>P162*((1+'Arnoud VDAB Pensioenopbouw'!$J$19/100)^($C$136-C162))</f>
        <v>1042.2258291758308</v>
      </c>
      <c r="S162" s="23">
        <f t="shared" ref="S162:S202" si="34">S161+R162</f>
        <v>2091.604188551888</v>
      </c>
      <c r="T162" s="39">
        <f>((K162/'Arnoud VDAB Pensioenopbouw'!$M$15)/R162)*100</f>
        <v>88.551549652118894</v>
      </c>
    </row>
    <row r="163" spans="3:20" ht="15" thickBot="1" x14ac:dyDescent="0.35">
      <c r="C163" s="16">
        <v>22</v>
      </c>
      <c r="D163" s="17">
        <f>IF(Blad2!E10&lt;&gt;"",(D162*(1+(('Arnoud VDAB Pensioenopbouw'!$C$19)/100)))*(1+Blad2!E10/100),D162*(1+(('Arnoud VDAB Pensioenopbouw'!$C$19)/100)))</f>
        <v>30802</v>
      </c>
      <c r="E163" s="17">
        <f>(E162*(1+'Arnoud VDAB Pensioenopbouw'!$G$19/100))</f>
        <v>14802</v>
      </c>
      <c r="F163" s="17">
        <f t="shared" si="31"/>
        <v>16000</v>
      </c>
      <c r="G163" s="18">
        <f>'Arnoud VDAB Pensioenopbouw'!$D$19</f>
        <v>26.25</v>
      </c>
      <c r="H163" s="19">
        <f>F163*('Arnoud VDAB Pensioenopbouw'!$D$19/100)</f>
        <v>4200</v>
      </c>
      <c r="I163" s="20">
        <f>1+'Arnoud VDAB Pensioenopbouw'!$Q$19/100</f>
        <v>1.0269999999999999</v>
      </c>
      <c r="J163" s="21">
        <f>(Blad1!$C$71-C163)+$J$79</f>
        <v>45</v>
      </c>
      <c r="K163" s="22">
        <f>H163*((1+'Arnoud VDAB Pensioenopbouw'!$Q$19/100)^J163)</f>
        <v>13928.977994598423</v>
      </c>
      <c r="L163" s="23">
        <f t="shared" si="32"/>
        <v>42925.335426315796</v>
      </c>
      <c r="M163" s="178"/>
      <c r="N163" s="178"/>
      <c r="P163" s="108">
        <f>$F86*('Arnoud VDAB Pensioenopbouw'!$E$19*((100-(($C86-25)*($V$14)))/100))/100</f>
        <v>312.12000000000006</v>
      </c>
      <c r="Q163" s="106">
        <f t="shared" si="33"/>
        <v>918.12000000000012</v>
      </c>
      <c r="R163" s="62">
        <f>P163*((1+'Arnoud VDAB Pensioenopbouw'!$J$19/100)^($C$136-C163))</f>
        <v>1035.1220503985858</v>
      </c>
      <c r="S163" s="23">
        <f t="shared" si="34"/>
        <v>3126.726238950474</v>
      </c>
      <c r="T163" s="39">
        <f>((K163/'Arnoud VDAB Pensioenopbouw'!$M$15)/R163)*100</f>
        <v>86.815244756979311</v>
      </c>
    </row>
    <row r="164" spans="3:20" ht="15" thickBot="1" x14ac:dyDescent="0.35">
      <c r="C164" s="16">
        <v>23</v>
      </c>
      <c r="D164" s="17">
        <f>IF(Blad2!E11&lt;&gt;"",(D163*(1+(('Arnoud VDAB Pensioenopbouw'!$C$19)/100)))*(1+Blad2!E11/100),D163*(1+(('Arnoud VDAB Pensioenopbouw'!$C$19)/100)))</f>
        <v>30802</v>
      </c>
      <c r="E164" s="17">
        <f>(E163*(1+'Arnoud VDAB Pensioenopbouw'!$G$19/100))</f>
        <v>14802</v>
      </c>
      <c r="F164" s="17">
        <f t="shared" si="31"/>
        <v>16000</v>
      </c>
      <c r="G164" s="18">
        <f>'Arnoud VDAB Pensioenopbouw'!$D$19</f>
        <v>26.25</v>
      </c>
      <c r="H164" s="19">
        <f>F164*('Arnoud VDAB Pensioenopbouw'!$D$19/100)</f>
        <v>4200</v>
      </c>
      <c r="I164" s="20">
        <f>1+'Arnoud VDAB Pensioenopbouw'!$Q$19/100</f>
        <v>1.0269999999999999</v>
      </c>
      <c r="J164" s="21">
        <f>(Blad1!$C$71-C164)+$J$79</f>
        <v>44</v>
      </c>
      <c r="K164" s="22">
        <f>H164*((1+'Arnoud VDAB Pensioenopbouw'!$Q$19/100)^J164)</f>
        <v>13562.782857447346</v>
      </c>
      <c r="L164" s="23">
        <f t="shared" si="32"/>
        <v>56488.118283763142</v>
      </c>
      <c r="M164" s="178"/>
      <c r="N164" s="178"/>
      <c r="P164" s="108">
        <f>$F87*('Arnoud VDAB Pensioenopbouw'!$E$19*((100-(($C87-25)*($V$14)))/100))/100</f>
        <v>318.36240000000004</v>
      </c>
      <c r="Q164" s="106">
        <f t="shared" si="33"/>
        <v>1236.4824000000001</v>
      </c>
      <c r="R164" s="62">
        <f>P164*((1+'Arnoud VDAB Pensioenopbouw'!$J$19/100)^($C$136-C164))</f>
        <v>1028.0666907561417</v>
      </c>
      <c r="S164" s="23">
        <f t="shared" si="34"/>
        <v>4154.7929297066157</v>
      </c>
      <c r="T164" s="39">
        <f>((K164/'Arnoud VDAB Pensioenopbouw'!$M$15)/R164)*100</f>
        <v>85.112985055862083</v>
      </c>
    </row>
    <row r="165" spans="3:20" ht="15" thickBot="1" x14ac:dyDescent="0.35">
      <c r="C165" s="16">
        <v>24</v>
      </c>
      <c r="D165" s="17">
        <f>IF(Blad2!E12&lt;&gt;"",(D164*(1+(('Arnoud VDAB Pensioenopbouw'!$C$19)/100)))*(1+Blad2!E12/100),D164*(1+(('Arnoud VDAB Pensioenopbouw'!$C$19)/100)))</f>
        <v>30802</v>
      </c>
      <c r="E165" s="17">
        <f>(E164*(1+'Arnoud VDAB Pensioenopbouw'!$G$19/100))</f>
        <v>14802</v>
      </c>
      <c r="F165" s="17">
        <f t="shared" si="31"/>
        <v>16000</v>
      </c>
      <c r="G165" s="18">
        <f>'Arnoud VDAB Pensioenopbouw'!$D$19</f>
        <v>26.25</v>
      </c>
      <c r="H165" s="19">
        <f>F165*('Arnoud VDAB Pensioenopbouw'!$D$19/100)</f>
        <v>4200</v>
      </c>
      <c r="I165" s="20">
        <f>1+'Arnoud VDAB Pensioenopbouw'!$Q$19/100</f>
        <v>1.0269999999999999</v>
      </c>
      <c r="J165" s="21">
        <f>(Blad1!$C$71-C165)+$J$79</f>
        <v>43</v>
      </c>
      <c r="K165" s="22">
        <f>H165*((1+'Arnoud VDAB Pensioenopbouw'!$Q$19/100)^J165)</f>
        <v>13206.215051068499</v>
      </c>
      <c r="L165" s="23">
        <f t="shared" si="32"/>
        <v>69694.333334831637</v>
      </c>
      <c r="M165" s="178"/>
      <c r="N165" s="178"/>
      <c r="P165" s="108">
        <f>$F88*('Arnoud VDAB Pensioenopbouw'!$E$19*((100-(($C88-25)*($V$14)))/100))/100</f>
        <v>324.729648</v>
      </c>
      <c r="Q165" s="106">
        <f t="shared" si="33"/>
        <v>1561.2120480000001</v>
      </c>
      <c r="R165" s="62">
        <f>P165*((1+'Arnoud VDAB Pensioenopbouw'!$J$19/100)^($C$136-C165))</f>
        <v>1021.0594202251847</v>
      </c>
      <c r="S165" s="23">
        <f t="shared" si="34"/>
        <v>5175.8523499318007</v>
      </c>
      <c r="T165" s="39">
        <f>((K165/'Arnoud VDAB Pensioenopbouw'!$M$15)/R165)*100</f>
        <v>83.444102995943211</v>
      </c>
    </row>
    <row r="166" spans="3:20" ht="15" thickBot="1" x14ac:dyDescent="0.35">
      <c r="C166" s="16">
        <v>25</v>
      </c>
      <c r="D166" s="17">
        <f>IF(Blad2!E13&lt;&gt;"",(D165*(1+(('Arnoud VDAB Pensioenopbouw'!$C$19)/100)))*(1+Blad2!E13/100),D165*(1+(('Arnoud VDAB Pensioenopbouw'!$C$19)/100)))</f>
        <v>30802</v>
      </c>
      <c r="E166" s="17">
        <f>(E165*(1+'Arnoud VDAB Pensioenopbouw'!$G$19/100))</f>
        <v>14802</v>
      </c>
      <c r="F166" s="17">
        <f t="shared" si="31"/>
        <v>16000</v>
      </c>
      <c r="G166" s="18">
        <f>'Arnoud VDAB Pensioenopbouw'!$D$19</f>
        <v>26.25</v>
      </c>
      <c r="H166" s="19">
        <f>F166*('Arnoud VDAB Pensioenopbouw'!$D$19/100)</f>
        <v>4200</v>
      </c>
      <c r="I166" s="20">
        <f>1+'Arnoud VDAB Pensioenopbouw'!$Q$19/100</f>
        <v>1.0269999999999999</v>
      </c>
      <c r="J166" s="21">
        <f>(Blad1!$C$71-C166)+$J$79</f>
        <v>42</v>
      </c>
      <c r="K166" s="22">
        <f>H166*((1+'Arnoud VDAB Pensioenopbouw'!$Q$19/100)^J166)</f>
        <v>12859.021471342257</v>
      </c>
      <c r="L166" s="23">
        <f t="shared" si="32"/>
        <v>82553.354806173898</v>
      </c>
      <c r="M166" s="178"/>
      <c r="N166" s="178"/>
      <c r="P166" s="108">
        <f>$F89*('Arnoud VDAB Pensioenopbouw'!$E$19*((100-(($C89-25)*($V$14)))/100))/100</f>
        <v>331.22424096000003</v>
      </c>
      <c r="Q166" s="106">
        <f t="shared" si="33"/>
        <v>1892.4362889600002</v>
      </c>
      <c r="R166" s="62">
        <f>P166*((1+'Arnoud VDAB Pensioenopbouw'!$J$19/100)^($C$136-C166))</f>
        <v>1014.099911031829</v>
      </c>
      <c r="S166" s="23">
        <f t="shared" si="34"/>
        <v>6189.9522609636297</v>
      </c>
      <c r="T166" s="39">
        <f>((K166/'Arnoud VDAB Pensioenopbouw'!$M$15)/R166)*100</f>
        <v>81.807944113669819</v>
      </c>
    </row>
    <row r="167" spans="3:20" ht="15" thickBot="1" x14ac:dyDescent="0.35">
      <c r="C167" s="16">
        <v>26</v>
      </c>
      <c r="D167" s="17">
        <f>IF(Blad2!E14&lt;&gt;"",(D166*(1+(('Arnoud VDAB Pensioenopbouw'!$C$19)/100)))*(1+Blad2!E14/100),D166*(1+(('Arnoud VDAB Pensioenopbouw'!$C$19)/100)))</f>
        <v>30802</v>
      </c>
      <c r="E167" s="17">
        <f>(E166*(1+'Arnoud VDAB Pensioenopbouw'!$G$19/100))</f>
        <v>14802</v>
      </c>
      <c r="F167" s="17">
        <f t="shared" si="31"/>
        <v>16000</v>
      </c>
      <c r="G167" s="18">
        <f>'Arnoud VDAB Pensioenopbouw'!$D$19</f>
        <v>26.25</v>
      </c>
      <c r="H167" s="19">
        <f>F167*('Arnoud VDAB Pensioenopbouw'!$D$19/100)</f>
        <v>4200</v>
      </c>
      <c r="I167" s="20">
        <f>1+'Arnoud VDAB Pensioenopbouw'!$Q$19/100</f>
        <v>1.0269999999999999</v>
      </c>
      <c r="J167" s="21">
        <f>(Blad1!$C$71-C167)+$J$79</f>
        <v>41</v>
      </c>
      <c r="K167" s="22">
        <f>H167*((1+'Arnoud VDAB Pensioenopbouw'!$Q$19/100)^J167)</f>
        <v>12520.955668298206</v>
      </c>
      <c r="L167" s="23">
        <f t="shared" si="32"/>
        <v>95074.310474472106</v>
      </c>
      <c r="M167" s="178"/>
      <c r="N167" s="178"/>
      <c r="P167" s="108">
        <f>$F90*('Arnoud VDAB Pensioenopbouw'!$E$19*((100-(($C90-25)*($V$14)))/100))/100</f>
        <v>337.84872577919998</v>
      </c>
      <c r="Q167" s="106">
        <f t="shared" si="33"/>
        <v>2230.2850147392001</v>
      </c>
      <c r="R167" s="62">
        <f>P167*((1+'Arnoud VDAB Pensioenopbouw'!$J$19/100)^($C$136-C167))</f>
        <v>1007.1878376362858</v>
      </c>
      <c r="S167" s="23">
        <f t="shared" si="34"/>
        <v>7197.1400985999153</v>
      </c>
      <c r="T167" s="39">
        <f>((K167/'Arnoud VDAB Pensioenopbouw'!$M$15)/R167)*100</f>
        <v>80.203866778107667</v>
      </c>
    </row>
    <row r="168" spans="3:20" ht="15" thickBot="1" x14ac:dyDescent="0.35">
      <c r="C168" s="16">
        <v>27</v>
      </c>
      <c r="D168" s="17">
        <f>IF(Blad2!E15&lt;&gt;"",(D167*(1+(('Arnoud VDAB Pensioenopbouw'!$C$19)/100)))*(1+Blad2!E15/100),D167*(1+(('Arnoud VDAB Pensioenopbouw'!$C$19)/100)))</f>
        <v>30802</v>
      </c>
      <c r="E168" s="17">
        <f>(E167*(1+'Arnoud VDAB Pensioenopbouw'!$G$19/100))</f>
        <v>14802</v>
      </c>
      <c r="F168" s="17">
        <f t="shared" si="31"/>
        <v>16000</v>
      </c>
      <c r="G168" s="18">
        <f>'Arnoud VDAB Pensioenopbouw'!$D$19</f>
        <v>26.25</v>
      </c>
      <c r="H168" s="19">
        <f>F168*('Arnoud VDAB Pensioenopbouw'!$D$19/100)</f>
        <v>4200</v>
      </c>
      <c r="I168" s="20">
        <f>1+'Arnoud VDAB Pensioenopbouw'!$Q$19/100</f>
        <v>1.0269999999999999</v>
      </c>
      <c r="J168" s="21">
        <f>(Blad1!$C$71-C168)+$J$79</f>
        <v>40</v>
      </c>
      <c r="K168" s="22">
        <f>H168*((1+'Arnoud VDAB Pensioenopbouw'!$Q$19/100)^J168)</f>
        <v>12191.777671176444</v>
      </c>
      <c r="L168" s="23">
        <f t="shared" si="32"/>
        <v>107266.08814564855</v>
      </c>
      <c r="M168" s="178"/>
      <c r="N168" s="178"/>
      <c r="P168" s="108">
        <f>$F91*('Arnoud VDAB Pensioenopbouw'!$E$19*((100-(($C91-25)*($V$14)))/100))/100</f>
        <v>344.60570029478401</v>
      </c>
      <c r="Q168" s="106">
        <f t="shared" si="33"/>
        <v>2574.8907150339842</v>
      </c>
      <c r="R168" s="62">
        <f>P168*((1+'Arnoud VDAB Pensioenopbouw'!$J$19/100)^($C$136-C168))</f>
        <v>1000.3228767176356</v>
      </c>
      <c r="S168" s="23">
        <f t="shared" si="34"/>
        <v>8197.4629753175504</v>
      </c>
      <c r="T168" s="39">
        <f>((K168/'Arnoud VDAB Pensioenopbouw'!$M$15)/R168)*100</f>
        <v>78.631241939321242</v>
      </c>
    </row>
    <row r="169" spans="3:20" ht="15" thickBot="1" x14ac:dyDescent="0.35">
      <c r="C169" s="16">
        <v>28</v>
      </c>
      <c r="D169" s="17">
        <f>IF(Blad2!E16&lt;&gt;"",(D168*(1+(('Arnoud VDAB Pensioenopbouw'!$C$19)/100)))*(1+Blad2!E16/100),D168*(1+(('Arnoud VDAB Pensioenopbouw'!$C$19)/100)))</f>
        <v>30802</v>
      </c>
      <c r="E169" s="17">
        <f>(E168*(1+'Arnoud VDAB Pensioenopbouw'!$G$19/100))</f>
        <v>14802</v>
      </c>
      <c r="F169" s="17">
        <f t="shared" si="31"/>
        <v>16000</v>
      </c>
      <c r="G169" s="18">
        <f>'Arnoud VDAB Pensioenopbouw'!$D$19</f>
        <v>26.25</v>
      </c>
      <c r="H169" s="19">
        <f>F169*('Arnoud VDAB Pensioenopbouw'!$D$19/100)</f>
        <v>4200</v>
      </c>
      <c r="I169" s="20">
        <f>1+'Arnoud VDAB Pensioenopbouw'!$Q$19/100</f>
        <v>1.0269999999999999</v>
      </c>
      <c r="J169" s="21">
        <f>(Blad1!$C$71-C169)+$J$79</f>
        <v>39</v>
      </c>
      <c r="K169" s="22">
        <f>H169*((1+'Arnoud VDAB Pensioenopbouw'!$Q$19/100)^J169)</f>
        <v>11871.253818088069</v>
      </c>
      <c r="L169" s="23">
        <f t="shared" si="32"/>
        <v>119137.34196373662</v>
      </c>
      <c r="M169" s="178"/>
      <c r="N169" s="178"/>
      <c r="P169" s="108">
        <f>$F92*('Arnoud VDAB Pensioenopbouw'!$E$19*((100-(($C92-25)*($V$14)))/100))/100</f>
        <v>351.49781430067975</v>
      </c>
      <c r="Q169" s="106">
        <f t="shared" si="33"/>
        <v>2926.3885293346639</v>
      </c>
      <c r="R169" s="62">
        <f>P169*((1+'Arnoud VDAB Pensioenopbouw'!$J$19/100)^($C$136-C169))</f>
        <v>993.5047071587037</v>
      </c>
      <c r="S169" s="23">
        <f t="shared" si="34"/>
        <v>9190.9676824762537</v>
      </c>
      <c r="T169" s="39">
        <f>((K169/'Arnoud VDAB Pensioenopbouw'!$M$15)/R169)*100</f>
        <v>77.089452881687478</v>
      </c>
    </row>
    <row r="170" spans="3:20" ht="15" thickBot="1" x14ac:dyDescent="0.35">
      <c r="C170" s="16">
        <v>29</v>
      </c>
      <c r="D170" s="17">
        <f>IF(Blad2!E17&lt;&gt;"",(D169*(1+(('Arnoud VDAB Pensioenopbouw'!$C$19)/100)))*(1+Blad2!E17/100),D169*(1+(('Arnoud VDAB Pensioenopbouw'!$C$19)/100)))</f>
        <v>30802</v>
      </c>
      <c r="E170" s="17">
        <f>(E169*(1+'Arnoud VDAB Pensioenopbouw'!$G$19/100))</f>
        <v>14802</v>
      </c>
      <c r="F170" s="17">
        <f t="shared" si="31"/>
        <v>16000</v>
      </c>
      <c r="G170" s="18">
        <f>'Arnoud VDAB Pensioenopbouw'!$D$19</f>
        <v>26.25</v>
      </c>
      <c r="H170" s="19">
        <f>F170*('Arnoud VDAB Pensioenopbouw'!$D$19/100)</f>
        <v>4200</v>
      </c>
      <c r="I170" s="20">
        <f>1+'Arnoud VDAB Pensioenopbouw'!$Q$19/100</f>
        <v>1.0269999999999999</v>
      </c>
      <c r="J170" s="21">
        <f>(Blad1!$C$71-C170)+$J$79</f>
        <v>38</v>
      </c>
      <c r="K170" s="22">
        <f>H170*((1+'Arnoud VDAB Pensioenopbouw'!$Q$19/100)^J170)</f>
        <v>11559.156590153914</v>
      </c>
      <c r="L170" s="23">
        <f t="shared" si="32"/>
        <v>130696.49855389053</v>
      </c>
      <c r="M170" s="178"/>
      <c r="N170" s="178"/>
      <c r="P170" s="108">
        <f>$F93*('Arnoud VDAB Pensioenopbouw'!$E$19*((100-(($C93-25)*($V$14)))/100))/100</f>
        <v>358.52777058669324</v>
      </c>
      <c r="Q170" s="106">
        <f t="shared" si="33"/>
        <v>3284.9162999213572</v>
      </c>
      <c r="R170" s="62">
        <f>P170*((1+'Arnoud VDAB Pensioenopbouw'!$J$19/100)^($C$136-C170))</f>
        <v>986.73301003103938</v>
      </c>
      <c r="S170" s="23">
        <f t="shared" si="34"/>
        <v>10177.700692507293</v>
      </c>
      <c r="T170" s="39">
        <f>((K170/'Arnoud VDAB Pensioenopbouw'!$M$15)/R170)*100</f>
        <v>75.577894982046573</v>
      </c>
    </row>
    <row r="171" spans="3:20" ht="15" thickBot="1" x14ac:dyDescent="0.35">
      <c r="C171" s="43">
        <v>30</v>
      </c>
      <c r="D171" s="44">
        <f>IF(Blad2!E18&lt;&gt;"",(D170*(1+(('Arnoud VDAB Pensioenopbouw'!$C$19)/100)))*(1+Blad2!E18/100),D170*(1+(('Arnoud VDAB Pensioenopbouw'!$C$19)/100)))</f>
        <v>30802</v>
      </c>
      <c r="E171" s="44">
        <f>(E170*(1+'Arnoud VDAB Pensioenopbouw'!$G$19/100))</f>
        <v>14802</v>
      </c>
      <c r="F171" s="44">
        <f t="shared" si="31"/>
        <v>16000</v>
      </c>
      <c r="G171" s="45">
        <f>'Arnoud VDAB Pensioenopbouw'!$D$19</f>
        <v>26.25</v>
      </c>
      <c r="H171" s="46">
        <f>F171*('Arnoud VDAB Pensioenopbouw'!$D$19/100)</f>
        <v>4200</v>
      </c>
      <c r="I171" s="47">
        <f>1+'Arnoud VDAB Pensioenopbouw'!$Q$19/100</f>
        <v>1.0269999999999999</v>
      </c>
      <c r="J171" s="48">
        <f>(Blad1!$C$71-C171)+$J$79</f>
        <v>37</v>
      </c>
      <c r="K171" s="42">
        <f>H171*((1+'Arnoud VDAB Pensioenopbouw'!$Q$19/100)^J171)</f>
        <v>11255.264450003811</v>
      </c>
      <c r="L171" s="49">
        <f t="shared" si="32"/>
        <v>141951.76300389433</v>
      </c>
      <c r="M171" s="172"/>
      <c r="N171" s="172"/>
      <c r="P171" s="107">
        <f>$F94*('Arnoud VDAB Pensioenopbouw'!$E$19*((100-(($C94-25)*($V$14)))/100))/100</f>
        <v>365.69832599842709</v>
      </c>
      <c r="Q171" s="105">
        <f t="shared" si="33"/>
        <v>3650.6146259197844</v>
      </c>
      <c r="R171" s="52">
        <f>P171*((1+'Arnoud VDAB Pensioenopbouw'!$J$19/100)^($C$136-C171))</f>
        <v>980.00746858000025</v>
      </c>
      <c r="S171" s="49">
        <f t="shared" si="34"/>
        <v>11157.708161087294</v>
      </c>
      <c r="T171" s="51">
        <f>((K171/'Arnoud VDAB Pensioenopbouw'!$M$15)/R171)*100</f>
        <v>74.095975472594674</v>
      </c>
    </row>
    <row r="172" spans="3:20" ht="15" thickBot="1" x14ac:dyDescent="0.35">
      <c r="C172" s="16">
        <v>31</v>
      </c>
      <c r="D172" s="17">
        <f>IF(Blad2!E19&lt;&gt;"",(D171*(1+(('Arnoud VDAB Pensioenopbouw'!$C$19)/100)))*(1+Blad2!E19/100),D171*(1+(('Arnoud VDAB Pensioenopbouw'!$C$19)/100)))</f>
        <v>30802</v>
      </c>
      <c r="E172" s="17">
        <f>(E171*(1+'Arnoud VDAB Pensioenopbouw'!$G$19/100))</f>
        <v>14802</v>
      </c>
      <c r="F172" s="17">
        <f t="shared" si="31"/>
        <v>16000</v>
      </c>
      <c r="G172" s="18">
        <f>'Arnoud VDAB Pensioenopbouw'!$D$19</f>
        <v>26.25</v>
      </c>
      <c r="H172" s="19">
        <f>F172*('Arnoud VDAB Pensioenopbouw'!$D$19/100)</f>
        <v>4200</v>
      </c>
      <c r="I172" s="20">
        <f>1+'Arnoud VDAB Pensioenopbouw'!$Q$19/100</f>
        <v>1.0269999999999999</v>
      </c>
      <c r="J172" s="21">
        <f>(Blad1!$C$71-C172)+$J$79</f>
        <v>36</v>
      </c>
      <c r="K172" s="22">
        <f>H172*((1+'Arnoud VDAB Pensioenopbouw'!$Q$19/100)^J172)</f>
        <v>10959.361684521728</v>
      </c>
      <c r="L172" s="23">
        <f t="shared" si="32"/>
        <v>152911.12468841605</v>
      </c>
      <c r="M172" s="178"/>
      <c r="N172" s="178"/>
      <c r="P172" s="108">
        <f>$F95*('Arnoud VDAB Pensioenopbouw'!$E$19*((100-(($C95-25)*($V$14)))/100))/100</f>
        <v>373.01229251839561</v>
      </c>
      <c r="Q172" s="106">
        <f t="shared" si="33"/>
        <v>4023.6269184381799</v>
      </c>
      <c r="R172" s="62">
        <f>P172*((1+'Arnoud VDAB Pensioenopbouw'!$J$19/100)^($C$136-C172))</f>
        <v>973.32776820993217</v>
      </c>
      <c r="S172" s="23">
        <f t="shared" si="34"/>
        <v>12131.035929297226</v>
      </c>
      <c r="T172" s="39">
        <f>((K172/'Arnoud VDAB Pensioenopbouw'!$M$15)/R172)*100</f>
        <v>72.643113208426172</v>
      </c>
    </row>
    <row r="173" spans="3:20" ht="15" thickBot="1" x14ac:dyDescent="0.35">
      <c r="C173" s="16">
        <v>32</v>
      </c>
      <c r="D173" s="17">
        <f>IF(Blad2!E20&lt;&gt;"",(D172*(1+(('Arnoud VDAB Pensioenopbouw'!$C$19)/100)))*(1+Blad2!E20/100),D172*(1+(('Arnoud VDAB Pensioenopbouw'!$C$19)/100)))</f>
        <v>30802</v>
      </c>
      <c r="E173" s="17">
        <f>(E172*(1+'Arnoud VDAB Pensioenopbouw'!$G$19/100))</f>
        <v>14802</v>
      </c>
      <c r="F173" s="17">
        <f t="shared" si="31"/>
        <v>16000</v>
      </c>
      <c r="G173" s="18">
        <f>'Arnoud VDAB Pensioenopbouw'!$D$19</f>
        <v>26.25</v>
      </c>
      <c r="H173" s="19">
        <f>F173*('Arnoud VDAB Pensioenopbouw'!$D$19/100)</f>
        <v>4200</v>
      </c>
      <c r="I173" s="20">
        <f>1+'Arnoud VDAB Pensioenopbouw'!$Q$19/100</f>
        <v>1.0269999999999999</v>
      </c>
      <c r="J173" s="21">
        <f>(Blad1!$C$71-C173)+$J$79</f>
        <v>35</v>
      </c>
      <c r="K173" s="22">
        <f>H173*((1+'Arnoud VDAB Pensioenopbouw'!$Q$19/100)^J173)</f>
        <v>10671.238251725148</v>
      </c>
      <c r="L173" s="23">
        <f t="shared" si="32"/>
        <v>163582.3629401412</v>
      </c>
      <c r="M173" s="178"/>
      <c r="N173" s="178"/>
      <c r="P173" s="108">
        <f>$F96*('Arnoud VDAB Pensioenopbouw'!$E$19*((100-(($C96-25)*($V$14)))/100))/100</f>
        <v>380.47253836876348</v>
      </c>
      <c r="Q173" s="106">
        <f t="shared" si="33"/>
        <v>4404.0994568069436</v>
      </c>
      <c r="R173" s="62">
        <f>P173*((1+'Arnoud VDAB Pensioenopbouw'!$J$19/100)^($C$136-C173))</f>
        <v>966.69359646945554</v>
      </c>
      <c r="S173" s="23">
        <f t="shared" si="34"/>
        <v>13097.729525766681</v>
      </c>
      <c r="T173" s="39">
        <f>((K173/'Arnoud VDAB Pensioenopbouw'!$M$15)/R173)*100</f>
        <v>71.218738439633483</v>
      </c>
    </row>
    <row r="174" spans="3:20" ht="15" thickBot="1" x14ac:dyDescent="0.35">
      <c r="C174" s="16">
        <v>33</v>
      </c>
      <c r="D174" s="17">
        <f>IF(Blad2!E21&lt;&gt;"",(D173*(1+(('Arnoud VDAB Pensioenopbouw'!$C$19)/100)))*(1+Blad2!E21/100),D173*(1+(('Arnoud VDAB Pensioenopbouw'!$C$19)/100)))</f>
        <v>30802</v>
      </c>
      <c r="E174" s="17">
        <f>(E173*(1+'Arnoud VDAB Pensioenopbouw'!$G$19/100))</f>
        <v>14802</v>
      </c>
      <c r="F174" s="17">
        <f t="shared" si="31"/>
        <v>16000</v>
      </c>
      <c r="G174" s="18">
        <f>'Arnoud VDAB Pensioenopbouw'!$D$19</f>
        <v>26.25</v>
      </c>
      <c r="H174" s="19">
        <f>F174*('Arnoud VDAB Pensioenopbouw'!$D$19/100)</f>
        <v>4200</v>
      </c>
      <c r="I174" s="20">
        <f>1+'Arnoud VDAB Pensioenopbouw'!$Q$19/100</f>
        <v>1.0269999999999999</v>
      </c>
      <c r="J174" s="21">
        <f>(Blad1!$C$71-C174)+$J$79</f>
        <v>34</v>
      </c>
      <c r="K174" s="22">
        <f>H174*((1+'Arnoud VDAB Pensioenopbouw'!$Q$19/100)^J174)</f>
        <v>10390.689631670057</v>
      </c>
      <c r="L174" s="23">
        <f t="shared" si="32"/>
        <v>173973.05257181125</v>
      </c>
      <c r="M174" s="178"/>
      <c r="N174" s="178"/>
      <c r="P174" s="108">
        <f>$F97*('Arnoud VDAB Pensioenopbouw'!$E$19*((100-(($C97-25)*($V$14)))/100))/100</f>
        <v>388.0819891361387</v>
      </c>
      <c r="Q174" s="106">
        <f t="shared" si="33"/>
        <v>4792.1814459430825</v>
      </c>
      <c r="R174" s="62">
        <f>P174*((1+'Arnoud VDAB Pensioenopbouw'!$J$19/100)^($C$136-C174))</f>
        <v>960.10464303684955</v>
      </c>
      <c r="S174" s="23">
        <f t="shared" si="34"/>
        <v>14057.834168803531</v>
      </c>
      <c r="T174" s="39">
        <f>((K174/'Arnoud VDAB Pensioenopbouw'!$M$15)/R174)*100</f>
        <v>69.822292587875978</v>
      </c>
    </row>
    <row r="175" spans="3:20" ht="15" thickBot="1" x14ac:dyDescent="0.35">
      <c r="C175" s="16">
        <v>34</v>
      </c>
      <c r="D175" s="17">
        <f>IF(Blad2!E22&lt;&gt;"",(D174*(1+(('Arnoud VDAB Pensioenopbouw'!$C$19)/100)))*(1+Blad2!E22/100),D174*(1+(('Arnoud VDAB Pensioenopbouw'!$C$19)/100)))</f>
        <v>30802</v>
      </c>
      <c r="E175" s="17">
        <f>(E174*(1+'Arnoud VDAB Pensioenopbouw'!$G$19/100))</f>
        <v>14802</v>
      </c>
      <c r="F175" s="17">
        <f t="shared" si="31"/>
        <v>16000</v>
      </c>
      <c r="G175" s="18">
        <f>'Arnoud VDAB Pensioenopbouw'!$D$19</f>
        <v>26.25</v>
      </c>
      <c r="H175" s="19">
        <f>F175*('Arnoud VDAB Pensioenopbouw'!$D$19/100)</f>
        <v>4200</v>
      </c>
      <c r="I175" s="20">
        <f>1+'Arnoud VDAB Pensioenopbouw'!$Q$19/100</f>
        <v>1.0269999999999999</v>
      </c>
      <c r="J175" s="21">
        <f>(Blad1!$C$71-C175)+$J$79</f>
        <v>33</v>
      </c>
      <c r="K175" s="22">
        <f>H175*((1+'Arnoud VDAB Pensioenopbouw'!$Q$19/100)^J175)</f>
        <v>10117.516681275618</v>
      </c>
      <c r="L175" s="23">
        <f t="shared" si="32"/>
        <v>184090.56925308687</v>
      </c>
      <c r="M175" s="178"/>
      <c r="N175" s="178"/>
      <c r="P175" s="108">
        <f>$F98*('Arnoud VDAB Pensioenopbouw'!$E$19*((100-(($C98-25)*($V$14)))/100))/100</f>
        <v>395.8436289188615</v>
      </c>
      <c r="Q175" s="106">
        <f t="shared" si="33"/>
        <v>5188.0250748619437</v>
      </c>
      <c r="R175" s="62">
        <f>P175*((1+'Arnoud VDAB Pensioenopbouw'!$J$19/100)^($C$136-C175))</f>
        <v>953.56059970553724</v>
      </c>
      <c r="S175" s="23">
        <f t="shared" si="34"/>
        <v>15011.394768509068</v>
      </c>
      <c r="T175" s="39">
        <f>((K175/'Arnoud VDAB Pensioenopbouw'!$M$15)/R175)*100</f>
        <v>68.453228027329402</v>
      </c>
    </row>
    <row r="176" spans="3:20" ht="15" thickBot="1" x14ac:dyDescent="0.35">
      <c r="C176" s="16">
        <v>35</v>
      </c>
      <c r="D176" s="17">
        <f>IF(Blad2!E23&lt;&gt;"",(D175*(1+(('Arnoud VDAB Pensioenopbouw'!$C$19)/100)))*(1+Blad2!E23/100),D175*(1+(('Arnoud VDAB Pensioenopbouw'!$C$19)/100)))</f>
        <v>30802</v>
      </c>
      <c r="E176" s="17">
        <f>(E175*(1+'Arnoud VDAB Pensioenopbouw'!$G$19/100))</f>
        <v>14802</v>
      </c>
      <c r="F176" s="17">
        <f t="shared" si="31"/>
        <v>16000</v>
      </c>
      <c r="G176" s="18">
        <f>'Arnoud VDAB Pensioenopbouw'!$D$19</f>
        <v>26.25</v>
      </c>
      <c r="H176" s="19">
        <f>F176*('Arnoud VDAB Pensioenopbouw'!$D$19/100)</f>
        <v>4200</v>
      </c>
      <c r="I176" s="20">
        <f>1+'Arnoud VDAB Pensioenopbouw'!$Q$19/100</f>
        <v>1.0269999999999999</v>
      </c>
      <c r="J176" s="21">
        <f>(Blad1!$C$71-C176)+$J$79</f>
        <v>32</v>
      </c>
      <c r="K176" s="22">
        <f>H176*((1+'Arnoud VDAB Pensioenopbouw'!$Q$19/100)^J176)</f>
        <v>9851.5254929655475</v>
      </c>
      <c r="L176" s="23">
        <f t="shared" si="32"/>
        <v>193942.0947460524</v>
      </c>
      <c r="M176" s="178"/>
      <c r="N176" s="178"/>
      <c r="P176" s="108">
        <f>$F99*('Arnoud VDAB Pensioenopbouw'!$E$19*((100-(($C99-25)*($V$14)))/100))/100</f>
        <v>403.76050149723864</v>
      </c>
      <c r="Q176" s="106">
        <f t="shared" si="33"/>
        <v>5591.7855763591824</v>
      </c>
      <c r="R176" s="62">
        <f>P176*((1+'Arnoud VDAB Pensioenopbouw'!$J$19/100)^($C$136-C176))</f>
        <v>947.06116036966682</v>
      </c>
      <c r="S176" s="23">
        <f t="shared" si="34"/>
        <v>15958.455928878735</v>
      </c>
      <c r="T176" s="39">
        <f>((K176/'Arnoud VDAB Pensioenopbouw'!$M$15)/R176)*100</f>
        <v>67.111007869930788</v>
      </c>
    </row>
    <row r="177" spans="3:20" ht="15" thickBot="1" x14ac:dyDescent="0.35">
      <c r="C177" s="16">
        <v>36</v>
      </c>
      <c r="D177" s="17">
        <f>IF(Blad2!E24&lt;&gt;"",(D176*(1+(('Arnoud VDAB Pensioenopbouw'!$C$19)/100)))*(1+Blad2!E24/100),D176*(1+(('Arnoud VDAB Pensioenopbouw'!$C$19)/100)))</f>
        <v>30802</v>
      </c>
      <c r="E177" s="17">
        <f>(E176*(1+'Arnoud VDAB Pensioenopbouw'!$G$19/100))</f>
        <v>14802</v>
      </c>
      <c r="F177" s="17">
        <f t="shared" si="31"/>
        <v>16000</v>
      </c>
      <c r="G177" s="18">
        <f>'Arnoud VDAB Pensioenopbouw'!$D$19</f>
        <v>26.25</v>
      </c>
      <c r="H177" s="19">
        <f>F177*('Arnoud VDAB Pensioenopbouw'!$D$19/100)</f>
        <v>4200</v>
      </c>
      <c r="I177" s="20">
        <f>1+'Arnoud VDAB Pensioenopbouw'!$Q$19/100</f>
        <v>1.0269999999999999</v>
      </c>
      <c r="J177" s="21">
        <f>(Blad1!$C$71-C177)+$J$79</f>
        <v>31</v>
      </c>
      <c r="K177" s="22">
        <f>H177*((1+'Arnoud VDAB Pensioenopbouw'!$Q$19/100)^J177)</f>
        <v>9592.5272570258512</v>
      </c>
      <c r="L177" s="23">
        <f t="shared" si="32"/>
        <v>203534.62200307826</v>
      </c>
      <c r="M177" s="178"/>
      <c r="N177" s="178"/>
      <c r="P177" s="108">
        <f>$F100*('Arnoud VDAB Pensioenopbouw'!$E$19*((100-(($C100-25)*($V$14)))/100))/100</f>
        <v>411.83571152718343</v>
      </c>
      <c r="Q177" s="106">
        <f t="shared" si="33"/>
        <v>6003.6212878863662</v>
      </c>
      <c r="R177" s="62">
        <f>P177*((1+'Arnoud VDAB Pensioenopbouw'!$J$19/100)^($C$136-C177))</f>
        <v>940.60602100979588</v>
      </c>
      <c r="S177" s="23">
        <f t="shared" si="34"/>
        <v>16899.061949888532</v>
      </c>
      <c r="T177" s="39">
        <f>((K177/'Arnoud VDAB Pensioenopbouw'!$M$15)/R177)*100</f>
        <v>65.795105754834111</v>
      </c>
    </row>
    <row r="178" spans="3:20" ht="15" thickBot="1" x14ac:dyDescent="0.35">
      <c r="C178" s="16">
        <v>37</v>
      </c>
      <c r="D178" s="17">
        <f>IF(Blad2!E25&lt;&gt;"",(D177*(1+(('Arnoud VDAB Pensioenopbouw'!$C$19)/100)))*(1+Blad2!E25/100),D177*(1+(('Arnoud VDAB Pensioenopbouw'!$C$19)/100)))</f>
        <v>30802</v>
      </c>
      <c r="E178" s="17">
        <f>(E177*(1+'Arnoud VDAB Pensioenopbouw'!$G$19/100))</f>
        <v>14802</v>
      </c>
      <c r="F178" s="17">
        <f t="shared" si="31"/>
        <v>16000</v>
      </c>
      <c r="G178" s="18">
        <f>'Arnoud VDAB Pensioenopbouw'!$D$19</f>
        <v>26.25</v>
      </c>
      <c r="H178" s="19">
        <f>F178*('Arnoud VDAB Pensioenopbouw'!$D$19/100)</f>
        <v>4200</v>
      </c>
      <c r="I178" s="20">
        <f>1+'Arnoud VDAB Pensioenopbouw'!$Q$19/100</f>
        <v>1.0269999999999999</v>
      </c>
      <c r="J178" s="21">
        <f>(Blad1!$C$71-C178)+$J$79</f>
        <v>30</v>
      </c>
      <c r="K178" s="22">
        <f>H178*((1+'Arnoud VDAB Pensioenopbouw'!$Q$19/100)^J178)</f>
        <v>9340.3381275811589</v>
      </c>
      <c r="L178" s="23">
        <f t="shared" si="32"/>
        <v>212874.96013065943</v>
      </c>
      <c r="M178" s="178"/>
      <c r="N178" s="178"/>
      <c r="P178" s="108">
        <f>$F101*('Arnoud VDAB Pensioenopbouw'!$E$19*((100-(($C101-25)*($V$14)))/100))/100</f>
        <v>420.07242575772716</v>
      </c>
      <c r="Q178" s="106">
        <f t="shared" si="33"/>
        <v>6423.6937136440938</v>
      </c>
      <c r="R178" s="62">
        <f>P178*((1+'Arnoud VDAB Pensioenopbouw'!$J$19/100)^($C$136-C178))</f>
        <v>934.19487967866792</v>
      </c>
      <c r="S178" s="23">
        <f t="shared" si="34"/>
        <v>17833.256829567199</v>
      </c>
      <c r="T178" s="39">
        <f>((K178/'Arnoud VDAB Pensioenopbouw'!$M$15)/R178)*100</f>
        <v>64.505005641994217</v>
      </c>
    </row>
    <row r="179" spans="3:20" ht="15" thickBot="1" x14ac:dyDescent="0.35">
      <c r="C179" s="16">
        <v>38</v>
      </c>
      <c r="D179" s="17">
        <f>IF(Blad2!E26&lt;&gt;"",(D178*(1+(('Arnoud VDAB Pensioenopbouw'!$C$19)/100)))*(1+Blad2!E26/100),D178*(1+(('Arnoud VDAB Pensioenopbouw'!$C$19)/100)))</f>
        <v>30802</v>
      </c>
      <c r="E179" s="17">
        <f>(E178*(1+'Arnoud VDAB Pensioenopbouw'!$G$19/100))</f>
        <v>14802</v>
      </c>
      <c r="F179" s="17">
        <f t="shared" si="31"/>
        <v>16000</v>
      </c>
      <c r="G179" s="18">
        <f>'Arnoud VDAB Pensioenopbouw'!$D$19</f>
        <v>26.25</v>
      </c>
      <c r="H179" s="19">
        <f>F179*('Arnoud VDAB Pensioenopbouw'!$D$19/100)</f>
        <v>4200</v>
      </c>
      <c r="I179" s="20">
        <f>1+'Arnoud VDAB Pensioenopbouw'!$Q$19/100</f>
        <v>1.0269999999999999</v>
      </c>
      <c r="J179" s="21">
        <f>(Blad1!$C$71-C179)+$J$79</f>
        <v>29</v>
      </c>
      <c r="K179" s="22">
        <f>H179*((1+'Arnoud VDAB Pensioenopbouw'!$Q$19/100)^J179)</f>
        <v>9094.7790920946063</v>
      </c>
      <c r="L179" s="23">
        <f t="shared" si="32"/>
        <v>221969.73922275403</v>
      </c>
      <c r="M179" s="178"/>
      <c r="N179" s="178"/>
      <c r="P179" s="108">
        <f>$F102*('Arnoud VDAB Pensioenopbouw'!$E$19*((100-(($C102-25)*($V$14)))/100))/100</f>
        <v>428.4738742728818</v>
      </c>
      <c r="Q179" s="106">
        <f t="shared" si="33"/>
        <v>6852.1675879169752</v>
      </c>
      <c r="R179" s="62">
        <f>P179*((1+'Arnoud VDAB Pensioenopbouw'!$J$19/100)^($C$136-C179))</f>
        <v>927.82743648709015</v>
      </c>
      <c r="S179" s="23">
        <f t="shared" si="34"/>
        <v>18761.084266054288</v>
      </c>
      <c r="T179" s="39">
        <f>((K179/'Arnoud VDAB Pensioenopbouw'!$M$15)/R179)*100</f>
        <v>63.240201609798227</v>
      </c>
    </row>
    <row r="180" spans="3:20" ht="15" thickBot="1" x14ac:dyDescent="0.35">
      <c r="C180" s="16">
        <v>39</v>
      </c>
      <c r="D180" s="17">
        <f>IF(Blad2!E27&lt;&gt;"",(D179*(1+(('Arnoud VDAB Pensioenopbouw'!$C$19)/100)))*(1+Blad2!E27/100),D179*(1+(('Arnoud VDAB Pensioenopbouw'!$C$19)/100)))</f>
        <v>30802</v>
      </c>
      <c r="E180" s="17">
        <f>(E179*(1+'Arnoud VDAB Pensioenopbouw'!$G$19/100))</f>
        <v>14802</v>
      </c>
      <c r="F180" s="17">
        <f t="shared" si="31"/>
        <v>16000</v>
      </c>
      <c r="G180" s="18">
        <f>'Arnoud VDAB Pensioenopbouw'!$D$19</f>
        <v>26.25</v>
      </c>
      <c r="H180" s="19">
        <f>F180*('Arnoud VDAB Pensioenopbouw'!$D$19/100)</f>
        <v>4200</v>
      </c>
      <c r="I180" s="20">
        <f>1+'Arnoud VDAB Pensioenopbouw'!$Q$19/100</f>
        <v>1.0269999999999999</v>
      </c>
      <c r="J180" s="21">
        <f>(Blad1!$C$71-C180)+$J$79</f>
        <v>28</v>
      </c>
      <c r="K180" s="22">
        <f>H180*((1+'Arnoud VDAB Pensioenopbouw'!$Q$19/100)^J180)</f>
        <v>8855.6758442985483</v>
      </c>
      <c r="L180" s="23">
        <f t="shared" si="32"/>
        <v>230825.41506705259</v>
      </c>
      <c r="M180" s="178"/>
      <c r="N180" s="178"/>
      <c r="P180" s="108">
        <f>$F103*('Arnoud VDAB Pensioenopbouw'!$E$19*((100-(($C103-25)*($V$14)))/100))/100</f>
        <v>437.04335175833944</v>
      </c>
      <c r="Q180" s="106">
        <f t="shared" si="33"/>
        <v>7289.2109396753149</v>
      </c>
      <c r="R180" s="62">
        <f>P180*((1+'Arnoud VDAB Pensioenopbouw'!$J$19/100)^($C$136-C180))</f>
        <v>921.5033935899047</v>
      </c>
      <c r="S180" s="23">
        <f t="shared" si="34"/>
        <v>19682.587659644192</v>
      </c>
      <c r="T180" s="39">
        <f>((K180/'Arnoud VDAB Pensioenopbouw'!$M$15)/R180)*100</f>
        <v>62.000197656664945</v>
      </c>
    </row>
    <row r="181" spans="3:20" ht="15" thickBot="1" x14ac:dyDescent="0.35">
      <c r="C181" s="43">
        <v>40</v>
      </c>
      <c r="D181" s="44">
        <f>IF(Blad2!E28&lt;&gt;"",(D180*(1+(('Arnoud VDAB Pensioenopbouw'!$C$19)/100)))*(1+Blad2!E28/100),D180*(1+(('Arnoud VDAB Pensioenopbouw'!$C$19)/100)))</f>
        <v>30802</v>
      </c>
      <c r="E181" s="44">
        <f>(E180*(1+'Arnoud VDAB Pensioenopbouw'!$G$19/100))</f>
        <v>14802</v>
      </c>
      <c r="F181" s="44">
        <f t="shared" si="31"/>
        <v>16000</v>
      </c>
      <c r="G181" s="45">
        <f>'Arnoud VDAB Pensioenopbouw'!$D$19</f>
        <v>26.25</v>
      </c>
      <c r="H181" s="46">
        <f>F181*('Arnoud VDAB Pensioenopbouw'!$D$19/100)</f>
        <v>4200</v>
      </c>
      <c r="I181" s="47">
        <f>1+'Arnoud VDAB Pensioenopbouw'!$Q$19/100</f>
        <v>1.0269999999999999</v>
      </c>
      <c r="J181" s="48">
        <f>(Blad1!$C$71-C181)+$J$79</f>
        <v>27</v>
      </c>
      <c r="K181" s="42">
        <f>H181*((1+'Arnoud VDAB Pensioenopbouw'!$Q$19/100)^J181)</f>
        <v>8622.8586604659668</v>
      </c>
      <c r="L181" s="49">
        <f t="shared" si="32"/>
        <v>239448.27372751856</v>
      </c>
      <c r="M181" s="172"/>
      <c r="N181" s="172"/>
      <c r="P181" s="107">
        <f>$F104*('Arnoud VDAB Pensioenopbouw'!$E$19*((100-(($C104-25)*($V$14)))/100))/100</f>
        <v>445.78421879350628</v>
      </c>
      <c r="Q181" s="105">
        <f t="shared" si="33"/>
        <v>7734.9951584688215</v>
      </c>
      <c r="R181" s="52">
        <f>P181*((1+'Arnoud VDAB Pensioenopbouw'!$J$19/100)^($C$136-C181))</f>
        <v>915.22245517205738</v>
      </c>
      <c r="S181" s="49">
        <f t="shared" si="34"/>
        <v>20597.81011481625</v>
      </c>
      <c r="T181" s="51">
        <f>((K181/'Arnoud VDAB Pensioenopbouw'!$M$15)/R181)*100</f>
        <v>60.784507506534247</v>
      </c>
    </row>
    <row r="182" spans="3:20" ht="15" thickBot="1" x14ac:dyDescent="0.35">
      <c r="C182" s="16">
        <v>41</v>
      </c>
      <c r="D182" s="17">
        <f>IF(Blad2!E29&lt;&gt;"",(D181*(1+(('Arnoud VDAB Pensioenopbouw'!$C$19)/100)))*(1+Blad2!E29/100),D181*(1+(('Arnoud VDAB Pensioenopbouw'!$C$19)/100)))</f>
        <v>30802</v>
      </c>
      <c r="E182" s="17">
        <f>(E181*(1+'Arnoud VDAB Pensioenopbouw'!$G$19/100))</f>
        <v>14802</v>
      </c>
      <c r="F182" s="17">
        <f t="shared" si="31"/>
        <v>16000</v>
      </c>
      <c r="G182" s="18">
        <f>'Arnoud VDAB Pensioenopbouw'!$D$19</f>
        <v>26.25</v>
      </c>
      <c r="H182" s="19">
        <f>F182*('Arnoud VDAB Pensioenopbouw'!$D$19/100)</f>
        <v>4200</v>
      </c>
      <c r="I182" s="20">
        <f>1+'Arnoud VDAB Pensioenopbouw'!$Q$19/100</f>
        <v>1.0269999999999999</v>
      </c>
      <c r="J182" s="21">
        <f>(Blad1!$C$71-C182)+$J$79</f>
        <v>26</v>
      </c>
      <c r="K182" s="22">
        <f>H182*((1+'Arnoud VDAB Pensioenopbouw'!$Q$19/100)^J182)</f>
        <v>8396.1622789347293</v>
      </c>
      <c r="L182" s="23">
        <f t="shared" si="32"/>
        <v>247844.4360064533</v>
      </c>
      <c r="M182" s="178"/>
      <c r="N182" s="178"/>
      <c r="P182" s="108">
        <f>$F105*('Arnoud VDAB Pensioenopbouw'!$E$19*((100-(($C105-25)*($V$14)))/100))/100</f>
        <v>454.69990316937634</v>
      </c>
      <c r="Q182" s="106">
        <f t="shared" si="33"/>
        <v>8189.6950616381982</v>
      </c>
      <c r="R182" s="62">
        <f>P182*((1+'Arnoud VDAB Pensioenopbouw'!$J$19/100)^($C$136-C182))</f>
        <v>908.98432743475996</v>
      </c>
      <c r="S182" s="23">
        <f t="shared" si="34"/>
        <v>21506.794442251008</v>
      </c>
      <c r="T182" s="39">
        <f>((K182/'Arnoud VDAB Pensioenopbouw'!$M$15)/R182)*100</f>
        <v>59.592654418170831</v>
      </c>
    </row>
    <row r="183" spans="3:20" ht="15" thickBot="1" x14ac:dyDescent="0.35">
      <c r="C183" s="16">
        <v>42</v>
      </c>
      <c r="D183" s="17">
        <f>IF(Blad2!E30&lt;&gt;"",(D182*(1+(('Arnoud VDAB Pensioenopbouw'!$C$19)/100)))*(1+Blad2!E30/100),D182*(1+(('Arnoud VDAB Pensioenopbouw'!$C$19)/100)))</f>
        <v>30802</v>
      </c>
      <c r="E183" s="17">
        <f>(E182*(1+'Arnoud VDAB Pensioenopbouw'!$G$19/100))</f>
        <v>14802</v>
      </c>
      <c r="F183" s="17">
        <f t="shared" si="31"/>
        <v>16000</v>
      </c>
      <c r="G183" s="18">
        <f>'Arnoud VDAB Pensioenopbouw'!$D$19</f>
        <v>26.25</v>
      </c>
      <c r="H183" s="19">
        <f>F183*('Arnoud VDAB Pensioenopbouw'!$D$19/100)</f>
        <v>4200</v>
      </c>
      <c r="I183" s="20">
        <f>1+'Arnoud VDAB Pensioenopbouw'!$Q$19/100</f>
        <v>1.0269999999999999</v>
      </c>
      <c r="J183" s="21">
        <f>(Blad1!$C$71-C183)+$J$79</f>
        <v>25</v>
      </c>
      <c r="K183" s="22">
        <f>H183*((1+'Arnoud VDAB Pensioenopbouw'!$Q$19/100)^J183)</f>
        <v>8175.4257827991523</v>
      </c>
      <c r="L183" s="23">
        <f t="shared" si="32"/>
        <v>256019.86178925243</v>
      </c>
      <c r="M183" s="178"/>
      <c r="N183" s="178"/>
      <c r="P183" s="108">
        <f>$F106*('Arnoud VDAB Pensioenopbouw'!$E$19*((100-(($C106-25)*($V$14)))/100))/100</f>
        <v>463.79390123276397</v>
      </c>
      <c r="Q183" s="106">
        <f t="shared" si="33"/>
        <v>8653.4889628709625</v>
      </c>
      <c r="R183" s="62">
        <f>P183*((1+'Arnoud VDAB Pensioenopbouw'!$J$19/100)^($C$136-C183))</f>
        <v>902.78871858174818</v>
      </c>
      <c r="S183" s="23">
        <f t="shared" si="34"/>
        <v>22409.583160832757</v>
      </c>
      <c r="T183" s="39">
        <f>((K183/'Arnoud VDAB Pensioenopbouw'!$M$15)/R183)*100</f>
        <v>58.424170998206691</v>
      </c>
    </row>
    <row r="184" spans="3:20" ht="15" thickBot="1" x14ac:dyDescent="0.35">
      <c r="C184" s="16">
        <v>43</v>
      </c>
      <c r="D184" s="17">
        <f>IF(Blad2!E31&lt;&gt;"",(D183*(1+(('Arnoud VDAB Pensioenopbouw'!$C$19)/100)))*(1+Blad2!E31/100),D183*(1+(('Arnoud VDAB Pensioenopbouw'!$C$19)/100)))</f>
        <v>30802</v>
      </c>
      <c r="E184" s="17">
        <f>(E183*(1+'Arnoud VDAB Pensioenopbouw'!$G$19/100))</f>
        <v>14802</v>
      </c>
      <c r="F184" s="17">
        <f t="shared" si="31"/>
        <v>16000</v>
      </c>
      <c r="G184" s="18">
        <f>'Arnoud VDAB Pensioenopbouw'!$D$19</f>
        <v>26.25</v>
      </c>
      <c r="H184" s="19">
        <f>F184*('Arnoud VDAB Pensioenopbouw'!$D$19/100)</f>
        <v>4200</v>
      </c>
      <c r="I184" s="20">
        <f>1+'Arnoud VDAB Pensioenopbouw'!$Q$19/100</f>
        <v>1.0269999999999999</v>
      </c>
      <c r="J184" s="21">
        <f>(Blad1!$C$71-C184)+$J$79</f>
        <v>24</v>
      </c>
      <c r="K184" s="22">
        <f>H184*((1+'Arnoud VDAB Pensioenopbouw'!$Q$19/100)^J184)</f>
        <v>7960.4924856856414</v>
      </c>
      <c r="L184" s="23">
        <f t="shared" si="32"/>
        <v>263980.35427493806</v>
      </c>
      <c r="M184" s="178"/>
      <c r="N184" s="178"/>
      <c r="P184" s="108">
        <f>$F107*('Arnoud VDAB Pensioenopbouw'!$E$19*((100-(($C107-25)*($V$14)))/100))/100</f>
        <v>473.06977925741927</v>
      </c>
      <c r="Q184" s="106">
        <f t="shared" si="33"/>
        <v>9126.5587421283817</v>
      </c>
      <c r="R184" s="62">
        <f>P184*((1+'Arnoud VDAB Pensioenopbouw'!$J$19/100)^($C$136-C184))</f>
        <v>896.63533880563125</v>
      </c>
      <c r="S184" s="23">
        <f t="shared" si="34"/>
        <v>23306.218499638388</v>
      </c>
      <c r="T184" s="39">
        <f>((K184/'Arnoud VDAB Pensioenopbouw'!$M$15)/R184)*100</f>
        <v>57.278599017849693</v>
      </c>
    </row>
    <row r="185" spans="3:20" ht="15" thickBot="1" x14ac:dyDescent="0.35">
      <c r="C185" s="16">
        <v>44</v>
      </c>
      <c r="D185" s="17">
        <f>IF(Blad2!E32&lt;&gt;"",(D184*(1+(('Arnoud VDAB Pensioenopbouw'!$C$19)/100)))*(1+Blad2!E32/100),D184*(1+(('Arnoud VDAB Pensioenopbouw'!$C$19)/100)))</f>
        <v>30802</v>
      </c>
      <c r="E185" s="17">
        <f>(E184*(1+'Arnoud VDAB Pensioenopbouw'!$G$19/100))</f>
        <v>14802</v>
      </c>
      <c r="F185" s="17">
        <f t="shared" si="31"/>
        <v>16000</v>
      </c>
      <c r="G185" s="18">
        <f>'Arnoud VDAB Pensioenopbouw'!$D$19</f>
        <v>26.25</v>
      </c>
      <c r="H185" s="19">
        <f>F185*('Arnoud VDAB Pensioenopbouw'!$D$19/100)</f>
        <v>4200</v>
      </c>
      <c r="I185" s="20">
        <f>1+'Arnoud VDAB Pensioenopbouw'!$Q$19/100</f>
        <v>1.0269999999999999</v>
      </c>
      <c r="J185" s="21">
        <f>(Blad1!$C$71-C185)+$J$79</f>
        <v>23</v>
      </c>
      <c r="K185" s="22">
        <f>H185*((1+'Arnoud VDAB Pensioenopbouw'!$Q$19/100)^J185)</f>
        <v>7751.2098205312968</v>
      </c>
      <c r="L185" s="23">
        <f t="shared" si="32"/>
        <v>271731.56409546937</v>
      </c>
      <c r="M185" s="178"/>
      <c r="N185" s="178"/>
      <c r="P185" s="108">
        <f>$F108*('Arnoud VDAB Pensioenopbouw'!$E$19*((100-(($C108-25)*($V$14)))/100))/100</f>
        <v>482.53117484256762</v>
      </c>
      <c r="Q185" s="106">
        <f t="shared" si="33"/>
        <v>9609.0899169709501</v>
      </c>
      <c r="R185" s="62">
        <f>P185*((1+'Arnoud VDAB Pensioenopbouw'!$J$19/100)^($C$136-C185))</f>
        <v>890.52390027433682</v>
      </c>
      <c r="S185" s="23">
        <f t="shared" si="34"/>
        <v>24196.742399912724</v>
      </c>
      <c r="T185" s="39">
        <f>((K185/'Arnoud VDAB Pensioenopbouw'!$M$15)/R185)*100</f>
        <v>56.155489233185975</v>
      </c>
    </row>
    <row r="186" spans="3:20" ht="15" thickBot="1" x14ac:dyDescent="0.35">
      <c r="C186" s="16">
        <v>45</v>
      </c>
      <c r="D186" s="17">
        <f>IF(Blad2!E33&lt;&gt;"",(D185*(1+(('Arnoud VDAB Pensioenopbouw'!$C$19)/100)))*(1+Blad2!E33/100),D185*(1+(('Arnoud VDAB Pensioenopbouw'!$C$19)/100)))</f>
        <v>30802</v>
      </c>
      <c r="E186" s="17">
        <f>(E185*(1+'Arnoud VDAB Pensioenopbouw'!$G$19/100))</f>
        <v>14802</v>
      </c>
      <c r="F186" s="17">
        <f t="shared" si="31"/>
        <v>16000</v>
      </c>
      <c r="G186" s="18">
        <f>'Arnoud VDAB Pensioenopbouw'!$D$19</f>
        <v>26.25</v>
      </c>
      <c r="H186" s="19">
        <f>F186*('Arnoud VDAB Pensioenopbouw'!$D$19/100)</f>
        <v>4200</v>
      </c>
      <c r="I186" s="20">
        <f>1+'Arnoud VDAB Pensioenopbouw'!$Q$19/100</f>
        <v>1.0269999999999999</v>
      </c>
      <c r="J186" s="21">
        <f>(Blad1!$C$71-C186)+$J$79</f>
        <v>22</v>
      </c>
      <c r="K186" s="22">
        <f>H186*((1+'Arnoud VDAB Pensioenopbouw'!$Q$19/100)^J186)</f>
        <v>7547.4292312865609</v>
      </c>
      <c r="L186" s="23">
        <f t="shared" si="32"/>
        <v>279278.99332675594</v>
      </c>
      <c r="M186" s="178"/>
      <c r="N186" s="178"/>
      <c r="P186" s="108">
        <f>$F109*('Arnoud VDAB Pensioenopbouw'!$E$19*((100-(($C109-25)*($V$14)))/100))/100</f>
        <v>492.18179833941889</v>
      </c>
      <c r="Q186" s="106">
        <f t="shared" si="33"/>
        <v>10101.271715310369</v>
      </c>
      <c r="R186" s="62">
        <f>P186*((1+'Arnoud VDAB Pensioenopbouw'!$J$19/100)^($C$136-C186))</f>
        <v>884.454117117647</v>
      </c>
      <c r="S186" s="23">
        <f t="shared" si="34"/>
        <v>25081.19651703037</v>
      </c>
      <c r="T186" s="39">
        <f>((K186/'Arnoud VDAB Pensioenopbouw'!$M$15)/R186)*100</f>
        <v>55.054401209005874</v>
      </c>
    </row>
    <row r="187" spans="3:20" ht="15" thickBot="1" x14ac:dyDescent="0.35">
      <c r="C187" s="16">
        <v>46</v>
      </c>
      <c r="D187" s="17">
        <f>IF(Blad2!E34&lt;&gt;"",(D186*(1+(('Arnoud VDAB Pensioenopbouw'!$C$19)/100)))*(1+Blad2!E34/100),D186*(1+(('Arnoud VDAB Pensioenopbouw'!$C$19)/100)))</f>
        <v>30802</v>
      </c>
      <c r="E187" s="17">
        <f>(E186*(1+'Arnoud VDAB Pensioenopbouw'!$G$19/100))</f>
        <v>14802</v>
      </c>
      <c r="F187" s="17">
        <f t="shared" si="31"/>
        <v>16000</v>
      </c>
      <c r="G187" s="18">
        <f>'Arnoud VDAB Pensioenopbouw'!$D$19</f>
        <v>26.25</v>
      </c>
      <c r="H187" s="19">
        <f>F187*('Arnoud VDAB Pensioenopbouw'!$D$19/100)</f>
        <v>4200</v>
      </c>
      <c r="I187" s="20">
        <f>1+'Arnoud VDAB Pensioenopbouw'!$Q$19/100</f>
        <v>1.0269999999999999</v>
      </c>
      <c r="J187" s="21">
        <f>(Blad1!$C$71-C187)+$J$79</f>
        <v>21</v>
      </c>
      <c r="K187" s="22">
        <f>H187*((1+'Arnoud VDAB Pensioenopbouw'!$Q$19/100)^J187)</f>
        <v>7349.0060674650067</v>
      </c>
      <c r="L187" s="23">
        <f t="shared" si="32"/>
        <v>286627.99939422094</v>
      </c>
      <c r="M187" s="178"/>
      <c r="N187" s="178"/>
      <c r="P187" s="108">
        <f>$F110*('Arnoud VDAB Pensioenopbouw'!$E$19*((100-(($C110-25)*($V$14)))/100))/100</f>
        <v>502.02543430620733</v>
      </c>
      <c r="Q187" s="106">
        <f t="shared" si="33"/>
        <v>10603.297149616577</v>
      </c>
      <c r="R187" s="62">
        <f>P187*((1+'Arnoud VDAB Pensioenopbouw'!$J$19/100)^($C$136-C187))</f>
        <v>878.4257054138269</v>
      </c>
      <c r="S187" s="23">
        <f t="shared" si="34"/>
        <v>25959.622222444195</v>
      </c>
      <c r="T187" s="39">
        <f>((K187/'Arnoud VDAB Pensioenopbouw'!$M$15)/R187)*100</f>
        <v>53.974903146084173</v>
      </c>
    </row>
    <row r="188" spans="3:20" ht="15" thickBot="1" x14ac:dyDescent="0.35">
      <c r="C188" s="16">
        <v>47</v>
      </c>
      <c r="D188" s="17">
        <f>IF(Blad2!E35&lt;&gt;"",(D187*(1+(('Arnoud VDAB Pensioenopbouw'!$C$19)/100)))*(1+Blad2!E35/100),D187*(1+(('Arnoud VDAB Pensioenopbouw'!$C$19)/100)))</f>
        <v>30802</v>
      </c>
      <c r="E188" s="17">
        <f>(E187*(1+'Arnoud VDAB Pensioenopbouw'!$G$19/100))</f>
        <v>14802</v>
      </c>
      <c r="F188" s="17">
        <f t="shared" si="31"/>
        <v>16000</v>
      </c>
      <c r="G188" s="18">
        <f>'Arnoud VDAB Pensioenopbouw'!$D$19</f>
        <v>26.25</v>
      </c>
      <c r="H188" s="19">
        <f>F188*('Arnoud VDAB Pensioenopbouw'!$D$19/100)</f>
        <v>4200</v>
      </c>
      <c r="I188" s="20">
        <f>1+'Arnoud VDAB Pensioenopbouw'!$Q$19/100</f>
        <v>1.0269999999999999</v>
      </c>
      <c r="J188" s="21">
        <f>(Blad1!$C$71-C188)+$J$79</f>
        <v>20</v>
      </c>
      <c r="K188" s="22">
        <f>H188*((1+'Arnoud VDAB Pensioenopbouw'!$Q$19/100)^J188)</f>
        <v>7155.7994814654403</v>
      </c>
      <c r="L188" s="23">
        <f t="shared" si="32"/>
        <v>293783.79887568636</v>
      </c>
      <c r="M188" s="178"/>
      <c r="N188" s="178"/>
      <c r="P188" s="108">
        <f>$F111*('Arnoud VDAB Pensioenopbouw'!$E$19*((100-(($C111-25)*($V$14)))/100))/100</f>
        <v>512.06594299233143</v>
      </c>
      <c r="Q188" s="106">
        <f t="shared" si="33"/>
        <v>11115.363092608908</v>
      </c>
      <c r="R188" s="62">
        <f>P188*((1+'Arnoud VDAB Pensioenopbouw'!$J$19/100)^($C$136-C188))</f>
        <v>872.43838317634209</v>
      </c>
      <c r="S188" s="23">
        <f t="shared" si="34"/>
        <v>26832.060605620536</v>
      </c>
      <c r="T188" s="39">
        <f>((K188/'Arnoud VDAB Pensioenopbouw'!$M$15)/R188)*100</f>
        <v>52.91657171184724</v>
      </c>
    </row>
    <row r="189" spans="3:20" ht="15" thickBot="1" x14ac:dyDescent="0.35">
      <c r="C189" s="16">
        <v>48</v>
      </c>
      <c r="D189" s="17">
        <f>IF(Blad2!E36&lt;&gt;"",(D188*(1+(('Arnoud VDAB Pensioenopbouw'!$C$19)/100)))*(1+Blad2!E36/100),D188*(1+(('Arnoud VDAB Pensioenopbouw'!$C$19)/100)))</f>
        <v>30802</v>
      </c>
      <c r="E189" s="17">
        <f>(E188*(1+'Arnoud VDAB Pensioenopbouw'!$G$19/100))</f>
        <v>14802</v>
      </c>
      <c r="F189" s="17">
        <f t="shared" si="31"/>
        <v>16000</v>
      </c>
      <c r="G189" s="18">
        <f>'Arnoud VDAB Pensioenopbouw'!$D$19</f>
        <v>26.25</v>
      </c>
      <c r="H189" s="19">
        <f>F189*('Arnoud VDAB Pensioenopbouw'!$D$19/100)</f>
        <v>4200</v>
      </c>
      <c r="I189" s="20">
        <f>1+'Arnoud VDAB Pensioenopbouw'!$Q$19/100</f>
        <v>1.0269999999999999</v>
      </c>
      <c r="J189" s="21">
        <f>(Blad1!$C$71-C189)+$J$79</f>
        <v>19</v>
      </c>
      <c r="K189" s="22">
        <f>H189*((1+'Arnoud VDAB Pensioenopbouw'!$Q$19/100)^J189)</f>
        <v>6967.6723285934195</v>
      </c>
      <c r="L189" s="23">
        <f t="shared" si="32"/>
        <v>300751.47120427981</v>
      </c>
      <c r="M189" s="178"/>
      <c r="N189" s="178"/>
      <c r="P189" s="108">
        <f>$F112*('Arnoud VDAB Pensioenopbouw'!$E$19*((100-(($C112-25)*($V$14)))/100))/100</f>
        <v>522.30726185217816</v>
      </c>
      <c r="Q189" s="106">
        <f t="shared" si="33"/>
        <v>11637.670354461086</v>
      </c>
      <c r="R189" s="62">
        <f>P189*((1+'Arnoud VDAB Pensioenopbouw'!$J$19/100)^($C$136-C189))</f>
        <v>866.4918703406712</v>
      </c>
      <c r="S189" s="23">
        <f t="shared" si="34"/>
        <v>27698.552475961209</v>
      </c>
      <c r="T189" s="39">
        <f>((K189/'Arnoud VDAB Pensioenopbouw'!$M$15)/R189)*100</f>
        <v>51.878991874360025</v>
      </c>
    </row>
    <row r="190" spans="3:20" ht="15" thickBot="1" x14ac:dyDescent="0.35">
      <c r="C190" s="16">
        <v>49</v>
      </c>
      <c r="D190" s="17">
        <f>IF(Blad2!E37&lt;&gt;"",(D189*(1+(('Arnoud VDAB Pensioenopbouw'!$C$19)/100)))*(1+Blad2!E37/100),D189*(1+(('Arnoud VDAB Pensioenopbouw'!$C$19)/100)))</f>
        <v>30802</v>
      </c>
      <c r="E190" s="17">
        <f>(E189*(1+'Arnoud VDAB Pensioenopbouw'!$G$19/100))</f>
        <v>14802</v>
      </c>
      <c r="F190" s="17">
        <f t="shared" si="31"/>
        <v>16000</v>
      </c>
      <c r="G190" s="18">
        <f>'Arnoud VDAB Pensioenopbouw'!$D$19</f>
        <v>26.25</v>
      </c>
      <c r="H190" s="19">
        <f>F190*('Arnoud VDAB Pensioenopbouw'!$D$19/100)</f>
        <v>4200</v>
      </c>
      <c r="I190" s="20">
        <f>1+'Arnoud VDAB Pensioenopbouw'!$Q$19/100</f>
        <v>1.0269999999999999</v>
      </c>
      <c r="J190" s="21">
        <f>(Blad1!$C$71-C190)+$J$79</f>
        <v>18</v>
      </c>
      <c r="K190" s="22">
        <f>H190*((1+'Arnoud VDAB Pensioenopbouw'!$Q$19/100)^J190)</f>
        <v>6784.4910697112164</v>
      </c>
      <c r="L190" s="23">
        <f t="shared" si="32"/>
        <v>307535.96227399103</v>
      </c>
      <c r="M190" s="178"/>
      <c r="N190" s="178"/>
      <c r="P190" s="108">
        <f>$F113*('Arnoud VDAB Pensioenopbouw'!$E$19*((100-(($C113-25)*($V$14)))/100))/100</f>
        <v>532.75340708922181</v>
      </c>
      <c r="Q190" s="106">
        <f t="shared" si="33"/>
        <v>12170.423761550308</v>
      </c>
      <c r="R190" s="62">
        <f>P190*((1+'Arnoud VDAB Pensioenopbouw'!$J$19/100)^($C$136-C190))</f>
        <v>860.58588875120233</v>
      </c>
      <c r="S190" s="23">
        <f t="shared" si="34"/>
        <v>28559.138364712413</v>
      </c>
      <c r="T190" s="39">
        <f>((K190/'Arnoud VDAB Pensioenopbouw'!$M$15)/R190)*100</f>
        <v>50.861756739568641</v>
      </c>
    </row>
    <row r="191" spans="3:20" ht="15" thickBot="1" x14ac:dyDescent="0.35">
      <c r="C191" s="43">
        <v>50</v>
      </c>
      <c r="D191" s="44">
        <f>IF(Blad2!E38&lt;&gt;"",(D190*(1+(('Arnoud VDAB Pensioenopbouw'!$C$19)/100)))*(1+Blad2!E38/100),D190*(1+(('Arnoud VDAB Pensioenopbouw'!$C$19)/100)))</f>
        <v>30802</v>
      </c>
      <c r="E191" s="44">
        <f>(E190*(1+'Arnoud VDAB Pensioenopbouw'!$G$19/100))</f>
        <v>14802</v>
      </c>
      <c r="F191" s="44">
        <f t="shared" si="31"/>
        <v>16000</v>
      </c>
      <c r="G191" s="45">
        <f>'Arnoud VDAB Pensioenopbouw'!$D$19</f>
        <v>26.25</v>
      </c>
      <c r="H191" s="46">
        <f>F191*('Arnoud VDAB Pensioenopbouw'!$D$19/100)</f>
        <v>4200</v>
      </c>
      <c r="I191" s="47">
        <f>1+'Arnoud VDAB Pensioenopbouw'!$Q$19/100</f>
        <v>1.0269999999999999</v>
      </c>
      <c r="J191" s="48">
        <f>(Blad1!$C$71-C191)+$J$79</f>
        <v>17</v>
      </c>
      <c r="K191" s="42">
        <f>H191*((1+'Arnoud VDAB Pensioenopbouw'!$Q$19/100)^J191)</f>
        <v>6606.1256764471436</v>
      </c>
      <c r="L191" s="49">
        <f t="shared" si="32"/>
        <v>314142.08795043814</v>
      </c>
      <c r="M191" s="172"/>
      <c r="N191" s="172"/>
      <c r="P191" s="107">
        <f>$F114*('Arnoud VDAB Pensioenopbouw'!$E$19*((100-(($C114-25)*($V$14)))/100))/100</f>
        <v>543.40847523100626</v>
      </c>
      <c r="Q191" s="105">
        <f t="shared" si="33"/>
        <v>12713.832236781314</v>
      </c>
      <c r="R191" s="52">
        <f>P191*((1+'Arnoud VDAB Pensioenopbouw'!$J$19/100)^($C$136-C191))</f>
        <v>854.7201621482244</v>
      </c>
      <c r="S191" s="49">
        <f t="shared" si="34"/>
        <v>29413.858526860637</v>
      </c>
      <c r="T191" s="51">
        <f>((K191/'Arnoud VDAB Pensioenopbouw'!$M$15)/R191)*100</f>
        <v>49.86446739173396</v>
      </c>
    </row>
    <row r="192" spans="3:20" ht="15" thickBot="1" x14ac:dyDescent="0.35">
      <c r="C192" s="16">
        <v>51</v>
      </c>
      <c r="D192" s="17">
        <f>IF(Blad2!E39&lt;&gt;"",(D191*(1+(('Arnoud VDAB Pensioenopbouw'!$C$19)/100)))*(1+Blad2!E39/100),D191*(1+(('Arnoud VDAB Pensioenopbouw'!$C$19)/100)))</f>
        <v>30802</v>
      </c>
      <c r="E192" s="17">
        <f>(E191*(1+'Arnoud VDAB Pensioenopbouw'!$G$19/100))</f>
        <v>14802</v>
      </c>
      <c r="F192" s="17">
        <f t="shared" si="31"/>
        <v>16000</v>
      </c>
      <c r="G192" s="18">
        <f>'Arnoud VDAB Pensioenopbouw'!$D$19</f>
        <v>26.25</v>
      </c>
      <c r="H192" s="19">
        <f>F192*('Arnoud VDAB Pensioenopbouw'!$D$19/100)</f>
        <v>4200</v>
      </c>
      <c r="I192" s="20">
        <f>1+'Arnoud VDAB Pensioenopbouw'!$Q$19/100</f>
        <v>1.0269999999999999</v>
      </c>
      <c r="J192" s="21">
        <f>(Blad1!$C$71-C192)+$J$79</f>
        <v>16</v>
      </c>
      <c r="K192" s="22">
        <f>H192*((1+'Arnoud VDAB Pensioenopbouw'!$Q$19/100)^J192)</f>
        <v>6432.4495388969281</v>
      </c>
      <c r="L192" s="23">
        <f t="shared" si="32"/>
        <v>320574.53748933505</v>
      </c>
      <c r="M192" s="178"/>
      <c r="N192" s="178"/>
      <c r="P192" s="108">
        <f>$F115*('Arnoud VDAB Pensioenopbouw'!$E$19*((100-(($C115-25)*($V$14)))/100))/100</f>
        <v>554.27664473562641</v>
      </c>
      <c r="Q192" s="106">
        <f t="shared" si="33"/>
        <v>13268.108881516941</v>
      </c>
      <c r="R192" s="62">
        <f>P192*((1+'Arnoud VDAB Pensioenopbouw'!$J$19/100)^($C$136-C192))</f>
        <v>848.89441615500391</v>
      </c>
      <c r="S192" s="23">
        <f t="shared" si="34"/>
        <v>30262.752943015639</v>
      </c>
      <c r="T192" s="39">
        <f>((K192/'Arnoud VDAB Pensioenopbouw'!$M$15)/R192)*100</f>
        <v>48.886732736994091</v>
      </c>
    </row>
    <row r="193" spans="3:20" ht="15" thickBot="1" x14ac:dyDescent="0.35">
      <c r="C193" s="16">
        <v>52</v>
      </c>
      <c r="D193" s="17">
        <f>IF(Blad2!E40&lt;&gt;"",(D192*(1+(('Arnoud VDAB Pensioenopbouw'!$C$19)/100)))*(1+Blad2!E40/100),D192*(1+(('Arnoud VDAB Pensioenopbouw'!$C$19)/100)))</f>
        <v>30802</v>
      </c>
      <c r="E193" s="17">
        <f>(E192*(1+'Arnoud VDAB Pensioenopbouw'!$G$19/100))</f>
        <v>14802</v>
      </c>
      <c r="F193" s="17">
        <f t="shared" si="31"/>
        <v>16000</v>
      </c>
      <c r="G193" s="18">
        <f>'Arnoud VDAB Pensioenopbouw'!$D$19</f>
        <v>26.25</v>
      </c>
      <c r="H193" s="19">
        <f>F193*('Arnoud VDAB Pensioenopbouw'!$D$19/100)</f>
        <v>4200</v>
      </c>
      <c r="I193" s="20">
        <f>1+'Arnoud VDAB Pensioenopbouw'!$Q$19/100</f>
        <v>1.0269999999999999</v>
      </c>
      <c r="J193" s="21">
        <f>(Blad1!$C$71-C193)+$J$79</f>
        <v>15</v>
      </c>
      <c r="K193" s="22">
        <f>H193*((1+'Arnoud VDAB Pensioenopbouw'!$Q$19/100)^J193)</f>
        <v>6263.3393757516351</v>
      </c>
      <c r="L193" s="23">
        <f t="shared" si="32"/>
        <v>326837.87686508667</v>
      </c>
      <c r="M193" s="178"/>
      <c r="N193" s="178"/>
      <c r="P193" s="108">
        <f>$F116*('Arnoud VDAB Pensioenopbouw'!$E$19*((100-(($C116-25)*($V$14)))/100))/100</f>
        <v>565.36217763033903</v>
      </c>
      <c r="Q193" s="106">
        <f t="shared" si="33"/>
        <v>13833.471059147279</v>
      </c>
      <c r="R193" s="62">
        <f>P193*((1+'Arnoud VDAB Pensioenopbouw'!$J$19/100)^($C$136-C193))</f>
        <v>843.1083782649506</v>
      </c>
      <c r="S193" s="23">
        <f t="shared" si="34"/>
        <v>31105.86132128059</v>
      </c>
      <c r="T193" s="39">
        <f>((K193/'Arnoud VDAB Pensioenopbouw'!$M$15)/R193)*100</f>
        <v>47.928169349994192</v>
      </c>
    </row>
    <row r="194" spans="3:20" ht="15" thickBot="1" x14ac:dyDescent="0.35">
      <c r="C194" s="16">
        <v>53</v>
      </c>
      <c r="D194" s="17">
        <f>IF(Blad2!E41&lt;&gt;"",(D193*(1+(('Arnoud VDAB Pensioenopbouw'!$C$19)/100)))*(1+Blad2!E41/100),D193*(1+(('Arnoud VDAB Pensioenopbouw'!$C$19)/100)))</f>
        <v>30802</v>
      </c>
      <c r="E194" s="17">
        <f>(E193*(1+'Arnoud VDAB Pensioenopbouw'!$G$19/100))</f>
        <v>14802</v>
      </c>
      <c r="F194" s="17">
        <f t="shared" si="31"/>
        <v>16000</v>
      </c>
      <c r="G194" s="18">
        <f>'Arnoud VDAB Pensioenopbouw'!$D$19</f>
        <v>26.25</v>
      </c>
      <c r="H194" s="19">
        <f>F194*('Arnoud VDAB Pensioenopbouw'!$D$19/100)</f>
        <v>4200</v>
      </c>
      <c r="I194" s="20">
        <f>1+'Arnoud VDAB Pensioenopbouw'!$Q$19/100</f>
        <v>1.0269999999999999</v>
      </c>
      <c r="J194" s="21">
        <f>(Blad1!$C$71-C194)+$J$79</f>
        <v>14</v>
      </c>
      <c r="K194" s="22">
        <f>H194*((1+'Arnoud VDAB Pensioenopbouw'!$Q$19/100)^J194)</f>
        <v>6098.6751467883496</v>
      </c>
      <c r="L194" s="23">
        <f t="shared" si="32"/>
        <v>332936.55201187503</v>
      </c>
      <c r="M194" s="178"/>
      <c r="N194" s="178"/>
      <c r="P194" s="108">
        <f>$F117*('Arnoud VDAB Pensioenopbouw'!$E$19*((100-(($C117-25)*($V$14)))/100))/100</f>
        <v>576.66942118294583</v>
      </c>
      <c r="Q194" s="106">
        <f t="shared" si="33"/>
        <v>14410.140480330225</v>
      </c>
      <c r="R194" s="62">
        <f>P194*((1+'Arnoud VDAB Pensioenopbouw'!$J$19/100)^($C$136-C194))</f>
        <v>837.36177782887023</v>
      </c>
      <c r="S194" s="23">
        <f t="shared" si="34"/>
        <v>31943.223099109462</v>
      </c>
      <c r="T194" s="39">
        <f>((K194/'Arnoud VDAB Pensioenopbouw'!$M$15)/R194)*100</f>
        <v>46.988401323523718</v>
      </c>
    </row>
    <row r="195" spans="3:20" ht="15" thickBot="1" x14ac:dyDescent="0.35">
      <c r="C195" s="16">
        <v>54</v>
      </c>
      <c r="D195" s="17">
        <f>IF(Blad2!E42&lt;&gt;"",(D194*(1+(('Arnoud VDAB Pensioenopbouw'!$C$19)/100)))*(1+Blad2!E42/100),D194*(1+(('Arnoud VDAB Pensioenopbouw'!$C$19)/100)))</f>
        <v>30802</v>
      </c>
      <c r="E195" s="17">
        <f>(E194*(1+'Arnoud VDAB Pensioenopbouw'!$G$19/100))</f>
        <v>14802</v>
      </c>
      <c r="F195" s="17">
        <f t="shared" si="31"/>
        <v>16000</v>
      </c>
      <c r="G195" s="18">
        <f>'Arnoud VDAB Pensioenopbouw'!$D$19</f>
        <v>26.25</v>
      </c>
      <c r="H195" s="19">
        <f>F195*('Arnoud VDAB Pensioenopbouw'!$D$19/100)</f>
        <v>4200</v>
      </c>
      <c r="I195" s="20">
        <f>1+'Arnoud VDAB Pensioenopbouw'!$Q$19/100</f>
        <v>1.0269999999999999</v>
      </c>
      <c r="J195" s="21">
        <f>(Blad1!$C$71-C195)+$J$79</f>
        <v>13</v>
      </c>
      <c r="K195" s="22">
        <f>H195*((1+'Arnoud VDAB Pensioenopbouw'!$Q$19/100)^J195)</f>
        <v>5938.3399676614899</v>
      </c>
      <c r="L195" s="23">
        <f t="shared" si="32"/>
        <v>338874.89197953651</v>
      </c>
      <c r="M195" s="178"/>
      <c r="N195" s="178"/>
      <c r="P195" s="108">
        <f>$F118*('Arnoud VDAB Pensioenopbouw'!$E$19*((100-(($C118-25)*($V$14)))/100))/100</f>
        <v>588.20280960660466</v>
      </c>
      <c r="Q195" s="106">
        <f t="shared" si="33"/>
        <v>14998.343289936829</v>
      </c>
      <c r="R195" s="62">
        <f>P195*((1+'Arnoud VDAB Pensioenopbouw'!$J$19/100)^($C$136-C195))</f>
        <v>831.65434604230529</v>
      </c>
      <c r="S195" s="23">
        <f t="shared" si="34"/>
        <v>32774.877445151767</v>
      </c>
      <c r="T195" s="39">
        <f>((K195/'Arnoud VDAB Pensioenopbouw'!$M$15)/R195)*100</f>
        <v>46.06706012110169</v>
      </c>
    </row>
    <row r="196" spans="3:20" ht="15" thickBot="1" x14ac:dyDescent="0.35">
      <c r="C196" s="16">
        <v>55</v>
      </c>
      <c r="D196" s="17">
        <f>IF(Blad2!E43&lt;&gt;"",(D195*(1+(('Arnoud VDAB Pensioenopbouw'!$C$19)/100)))*(1+Blad2!E43/100),D195*(1+(('Arnoud VDAB Pensioenopbouw'!$C$19)/100)))</f>
        <v>30802</v>
      </c>
      <c r="E196" s="17">
        <f>(E195*(1+'Arnoud VDAB Pensioenopbouw'!$G$19/100))</f>
        <v>14802</v>
      </c>
      <c r="F196" s="17">
        <f t="shared" si="31"/>
        <v>16000</v>
      </c>
      <c r="G196" s="18">
        <f>'Arnoud VDAB Pensioenopbouw'!$D$19</f>
        <v>26.25</v>
      </c>
      <c r="H196" s="19">
        <f>F196*('Arnoud VDAB Pensioenopbouw'!$D$19/100)</f>
        <v>4200</v>
      </c>
      <c r="I196" s="20">
        <f>1+'Arnoud VDAB Pensioenopbouw'!$Q$19/100</f>
        <v>1.0269999999999999</v>
      </c>
      <c r="J196" s="21">
        <f>(Blad1!$C$71-C196)+$J$79</f>
        <v>12</v>
      </c>
      <c r="K196" s="22">
        <f>H196*((1+'Arnoud VDAB Pensioenopbouw'!$Q$19/100)^J196)</f>
        <v>5782.2200269342657</v>
      </c>
      <c r="L196" s="23">
        <f t="shared" si="32"/>
        <v>344657.11200647079</v>
      </c>
      <c r="M196" s="178"/>
      <c r="N196" s="178"/>
      <c r="P196" s="108">
        <f>$F119*('Arnoud VDAB Pensioenopbouw'!$E$19*((100-(($C119-25)*($V$14)))/100))/100</f>
        <v>599.96686579873676</v>
      </c>
      <c r="Q196" s="106">
        <f t="shared" si="33"/>
        <v>15598.310155735566</v>
      </c>
      <c r="R196" s="62">
        <f>P196*((1+'Arnoud VDAB Pensioenopbouw'!$J$19/100)^($C$136-C196))</f>
        <v>825.9858159329616</v>
      </c>
      <c r="S196" s="23">
        <f t="shared" si="34"/>
        <v>33600.863261084727</v>
      </c>
      <c r="T196" s="39">
        <f>((K196/'Arnoud VDAB Pensioenopbouw'!$M$15)/R196)*100</f>
        <v>45.163784432452637</v>
      </c>
    </row>
    <row r="197" spans="3:20" ht="15" thickBot="1" x14ac:dyDescent="0.35">
      <c r="C197" s="16">
        <v>56</v>
      </c>
      <c r="D197" s="17">
        <f>IF(Blad2!E44&lt;&gt;"",(D196*(1+(('Arnoud VDAB Pensioenopbouw'!$C$19)/100)))*(1+Blad2!E44/100),D196*(1+(('Arnoud VDAB Pensioenopbouw'!$C$19)/100)))</f>
        <v>30802</v>
      </c>
      <c r="E197" s="17">
        <f>(E196*(1+'Arnoud VDAB Pensioenopbouw'!$G$19/100))</f>
        <v>14802</v>
      </c>
      <c r="F197" s="17">
        <f t="shared" si="31"/>
        <v>16000</v>
      </c>
      <c r="G197" s="18">
        <f>'Arnoud VDAB Pensioenopbouw'!$D$19</f>
        <v>26.25</v>
      </c>
      <c r="H197" s="19">
        <f>F197*('Arnoud VDAB Pensioenopbouw'!$D$19/100)</f>
        <v>4200</v>
      </c>
      <c r="I197" s="20">
        <f>1+'Arnoud VDAB Pensioenopbouw'!$Q$19/100</f>
        <v>1.0269999999999999</v>
      </c>
      <c r="J197" s="21">
        <f>(Blad1!$C$71-C197)+$J$79</f>
        <v>11</v>
      </c>
      <c r="K197" s="22">
        <f>H197*((1+'Arnoud VDAB Pensioenopbouw'!$Q$19/100)^J197)</f>
        <v>5630.2045052913982</v>
      </c>
      <c r="L197" s="23">
        <f t="shared" si="32"/>
        <v>350287.31651176221</v>
      </c>
      <c r="M197" s="178"/>
      <c r="N197" s="178"/>
      <c r="P197" s="108">
        <f>$F120*('Arnoud VDAB Pensioenopbouw'!$E$19*((100-(($C120-25)*($V$14)))/100))/100</f>
        <v>611.96620311471145</v>
      </c>
      <c r="Q197" s="106">
        <f t="shared" si="33"/>
        <v>16210.276358850277</v>
      </c>
      <c r="R197" s="62">
        <f>P197*((1+'Arnoud VDAB Pensioenopbouw'!$J$19/100)^($C$136-C197))</f>
        <v>820.35592234821888</v>
      </c>
      <c r="S197" s="23">
        <f t="shared" si="34"/>
        <v>34421.219183432942</v>
      </c>
      <c r="T197" s="39">
        <f>((K197/'Arnoud VDAB Pensioenopbouw'!$M$15)/R197)*100</f>
        <v>44.278220031816311</v>
      </c>
    </row>
    <row r="198" spans="3:20" ht="15" thickBot="1" x14ac:dyDescent="0.35">
      <c r="C198" s="16">
        <v>57</v>
      </c>
      <c r="D198" s="17">
        <f>IF(Blad2!E45&lt;&gt;"",(D197*(1+(('Arnoud VDAB Pensioenopbouw'!$C$19)/100)))*(1+Blad2!E45/100),D197*(1+(('Arnoud VDAB Pensioenopbouw'!$C$19)/100)))</f>
        <v>30802</v>
      </c>
      <c r="E198" s="17">
        <f>(E197*(1+'Arnoud VDAB Pensioenopbouw'!$G$19/100))</f>
        <v>14802</v>
      </c>
      <c r="F198" s="17">
        <f t="shared" si="31"/>
        <v>16000</v>
      </c>
      <c r="G198" s="18">
        <f>'Arnoud VDAB Pensioenopbouw'!$D$19</f>
        <v>26.25</v>
      </c>
      <c r="H198" s="19">
        <f>F198*('Arnoud VDAB Pensioenopbouw'!$D$19/100)</f>
        <v>4200</v>
      </c>
      <c r="I198" s="20">
        <f>1+'Arnoud VDAB Pensioenopbouw'!$Q$19/100</f>
        <v>1.0269999999999999</v>
      </c>
      <c r="J198" s="21">
        <f>(Blad1!$C$71-C198)+$J$79</f>
        <v>10</v>
      </c>
      <c r="K198" s="22">
        <f>H198*((1+'Arnoud VDAB Pensioenopbouw'!$Q$19/100)^J198)</f>
        <v>5482.1854968757534</v>
      </c>
      <c r="L198" s="23">
        <f t="shared" si="32"/>
        <v>355769.50200863794</v>
      </c>
      <c r="M198" s="178"/>
      <c r="N198" s="178"/>
      <c r="P198" s="108">
        <f>$F121*('Arnoud VDAB Pensioenopbouw'!$E$19*((100-(($C121-25)*($V$14)))/100))/100</f>
        <v>624.20552717700571</v>
      </c>
      <c r="Q198" s="106">
        <f t="shared" si="33"/>
        <v>16834.481886027283</v>
      </c>
      <c r="R198" s="62">
        <f>P198*((1+'Arnoud VDAB Pensioenopbouw'!$J$19/100)^($C$136-C198))</f>
        <v>814.76440194272971</v>
      </c>
      <c r="S198" s="23">
        <f t="shared" si="34"/>
        <v>35235.983585375674</v>
      </c>
      <c r="T198" s="39">
        <f>((K198/'Arnoud VDAB Pensioenopbouw'!$M$15)/R198)*100</f>
        <v>43.410019639035596</v>
      </c>
    </row>
    <row r="199" spans="3:20" ht="15" thickBot="1" x14ac:dyDescent="0.35">
      <c r="C199" s="16">
        <v>58</v>
      </c>
      <c r="D199" s="17">
        <f>IF(Blad2!E46&lt;&gt;"",(D198*(1+(('Arnoud VDAB Pensioenopbouw'!$C$19)/100)))*(1+Blad2!E46/100),D198*(1+(('Arnoud VDAB Pensioenopbouw'!$C$19)/100)))</f>
        <v>30802</v>
      </c>
      <c r="E199" s="17">
        <f>(E198*(1+'Arnoud VDAB Pensioenopbouw'!$G$19/100))</f>
        <v>14802</v>
      </c>
      <c r="F199" s="17">
        <f t="shared" si="31"/>
        <v>16000</v>
      </c>
      <c r="G199" s="18">
        <f>'Arnoud VDAB Pensioenopbouw'!$D$19</f>
        <v>26.25</v>
      </c>
      <c r="H199" s="19">
        <f>F199*('Arnoud VDAB Pensioenopbouw'!$D$19/100)</f>
        <v>4200</v>
      </c>
      <c r="I199" s="20">
        <f>1+'Arnoud VDAB Pensioenopbouw'!$Q$19/100</f>
        <v>1.0269999999999999</v>
      </c>
      <c r="J199" s="21">
        <f>(Blad1!$C$71-C199)+$J$79</f>
        <v>9</v>
      </c>
      <c r="K199" s="22">
        <f>H199*((1+'Arnoud VDAB Pensioenopbouw'!$Q$19/100)^J199)</f>
        <v>5338.057932693041</v>
      </c>
      <c r="L199" s="23">
        <f t="shared" si="32"/>
        <v>361107.55994133098</v>
      </c>
      <c r="M199" s="178"/>
      <c r="N199" s="178"/>
      <c r="P199" s="108">
        <f>$F122*('Arnoud VDAB Pensioenopbouw'!$E$19*((100-(($C122-25)*($V$14)))/100))/100</f>
        <v>636.68963772054599</v>
      </c>
      <c r="Q199" s="106">
        <f t="shared" si="33"/>
        <v>17471.171523747827</v>
      </c>
      <c r="R199" s="62">
        <f>P199*((1+'Arnoud VDAB Pensioenopbouw'!$J$19/100)^($C$136-C199))</f>
        <v>809.2109931660998</v>
      </c>
      <c r="S199" s="23">
        <f t="shared" si="34"/>
        <v>36045.194578541777</v>
      </c>
      <c r="T199" s="39">
        <f>((K199/'Arnoud VDAB Pensioenopbouw'!$M$15)/R199)*100</f>
        <v>42.55884278336822</v>
      </c>
    </row>
    <row r="200" spans="3:20" ht="15" thickBot="1" x14ac:dyDescent="0.35">
      <c r="C200" s="16">
        <v>59</v>
      </c>
      <c r="D200" s="17">
        <f>IF(Blad2!E47&lt;&gt;"",(D199*(1+(('Arnoud VDAB Pensioenopbouw'!$C$19)/100)))*(1+Blad2!E47/100),D199*(1+(('Arnoud VDAB Pensioenopbouw'!$C$19)/100)))</f>
        <v>30802</v>
      </c>
      <c r="E200" s="17">
        <f>(E199*(1+'Arnoud VDAB Pensioenopbouw'!$G$19/100))</f>
        <v>14802</v>
      </c>
      <c r="F200" s="17">
        <f t="shared" si="31"/>
        <v>16000</v>
      </c>
      <c r="G200" s="18">
        <f>'Arnoud VDAB Pensioenopbouw'!$D$19</f>
        <v>26.25</v>
      </c>
      <c r="H200" s="19">
        <f>F200*('Arnoud VDAB Pensioenopbouw'!$D$19/100)</f>
        <v>4200</v>
      </c>
      <c r="I200" s="20">
        <f>1+'Arnoud VDAB Pensioenopbouw'!$Q$19/100</f>
        <v>1.0269999999999999</v>
      </c>
      <c r="J200" s="21">
        <f>(Blad1!$C$71-C200)+$J$79</f>
        <v>8</v>
      </c>
      <c r="K200" s="22">
        <f>H200*((1+'Arnoud VDAB Pensioenopbouw'!$Q$19/100)^J200)</f>
        <v>5197.7195060302265</v>
      </c>
      <c r="L200" s="23">
        <f t="shared" si="32"/>
        <v>366305.27944736119</v>
      </c>
      <c r="M200" s="178"/>
      <c r="N200" s="178"/>
      <c r="P200" s="108">
        <f>$F123*('Arnoud VDAB Pensioenopbouw'!$E$19*((100-(($C123-25)*($V$14)))/100))/100</f>
        <v>649.42343047495706</v>
      </c>
      <c r="Q200" s="106">
        <f t="shared" si="33"/>
        <v>18120.594954222783</v>
      </c>
      <c r="R200" s="62">
        <f>P200*((1+'Arnoud VDAB Pensioenopbouw'!$J$19/100)^($C$136-C200))</f>
        <v>803.69543625065444</v>
      </c>
      <c r="S200" s="23">
        <f t="shared" si="34"/>
        <v>36848.890014792429</v>
      </c>
      <c r="T200" s="39">
        <f>((K200/'Arnoud VDAB Pensioenopbouw'!$M$15)/R200)*100</f>
        <v>41.724355669968844</v>
      </c>
    </row>
    <row r="201" spans="3:20" ht="15" thickBot="1" x14ac:dyDescent="0.35">
      <c r="C201" s="16">
        <v>60</v>
      </c>
      <c r="D201" s="17">
        <f>IF(Blad2!E48&lt;&gt;"",(D200*(1+(('Arnoud VDAB Pensioenopbouw'!$C$19)/100)))*(1+Blad2!E48/100),D200*(1+(('Arnoud VDAB Pensioenopbouw'!$C$19)/100)))</f>
        <v>30802</v>
      </c>
      <c r="E201" s="17">
        <f>(E200*(1+'Arnoud VDAB Pensioenopbouw'!$G$19/100))</f>
        <v>14802</v>
      </c>
      <c r="F201" s="17">
        <f t="shared" si="31"/>
        <v>16000</v>
      </c>
      <c r="G201" s="18">
        <f>'Arnoud VDAB Pensioenopbouw'!$D$19</f>
        <v>26.25</v>
      </c>
      <c r="H201" s="19">
        <f>F201*('Arnoud VDAB Pensioenopbouw'!$D$19/100)</f>
        <v>4200</v>
      </c>
      <c r="I201" s="20">
        <f>1+'Arnoud VDAB Pensioenopbouw'!$Q$19/100</f>
        <v>1.0269999999999999</v>
      </c>
      <c r="J201" s="21">
        <f>(Blad1!$C$71-C201)+$J$79</f>
        <v>7</v>
      </c>
      <c r="K201" s="22">
        <f>H201*((1+'Arnoud VDAB Pensioenopbouw'!$Q$19/100)^J201)</f>
        <v>5061.0705998346903</v>
      </c>
      <c r="L201" s="23">
        <f t="shared" si="32"/>
        <v>371366.35004719585</v>
      </c>
      <c r="M201" s="178"/>
      <c r="N201" s="178"/>
      <c r="P201" s="108">
        <f>$F124*('Arnoud VDAB Pensioenopbouw'!$E$19*((100-(($C124-25)*($V$14)))/100))/100</f>
        <v>662.41189908445619</v>
      </c>
      <c r="Q201" s="106">
        <f t="shared" si="33"/>
        <v>18783.006853307237</v>
      </c>
      <c r="R201" s="62">
        <f>P201*((1+'Arnoud VDAB Pensioenopbouw'!$J$19/100)^($C$136-C201))</f>
        <v>798.21747319928681</v>
      </c>
      <c r="S201" s="23">
        <f t="shared" si="34"/>
        <v>37647.107487991714</v>
      </c>
      <c r="T201" s="39">
        <f>((K201/'Arnoud VDAB Pensioenopbouw'!$M$15)/R201)*100</f>
        <v>40.906231048989063</v>
      </c>
    </row>
    <row r="202" spans="3:20" ht="15" thickBot="1" x14ac:dyDescent="0.35">
      <c r="C202" s="43">
        <v>61</v>
      </c>
      <c r="D202" s="44">
        <f>IF(Blad2!E50&lt;&gt;"",(D201*(1+(('Arnoud VDAB Pensioenopbouw'!$C$19)/100)))*(1+Blad2!E50/100),D201*(1+(('Arnoud VDAB Pensioenopbouw'!$C$19)/100)))</f>
        <v>30802</v>
      </c>
      <c r="E202" s="44">
        <f>(E201*(1+'Arnoud VDAB Pensioenopbouw'!$G$19/100))</f>
        <v>14802</v>
      </c>
      <c r="F202" s="44">
        <f t="shared" si="31"/>
        <v>16000</v>
      </c>
      <c r="G202" s="45">
        <f>'Arnoud VDAB Pensioenopbouw'!$D$19</f>
        <v>26.25</v>
      </c>
      <c r="H202" s="46">
        <f>F202*('Arnoud VDAB Pensioenopbouw'!$D$19/100)</f>
        <v>4200</v>
      </c>
      <c r="I202" s="47">
        <f>1+'Arnoud VDAB Pensioenopbouw'!$Q$19/100</f>
        <v>1.0269999999999999</v>
      </c>
      <c r="J202" s="48">
        <f>(Blad1!$C$71-C202)+$J$79</f>
        <v>6</v>
      </c>
      <c r="K202" s="42">
        <f>H202*((1+'Arnoud VDAB Pensioenopbouw'!$Q$19/100)^J202)</f>
        <v>4928.0142160026198</v>
      </c>
      <c r="L202" s="49">
        <f t="shared" si="32"/>
        <v>376294.36426319845</v>
      </c>
      <c r="M202" s="172"/>
      <c r="N202" s="172"/>
      <c r="P202" s="107">
        <f>$F125*('Arnoud VDAB Pensioenopbouw'!$E$19*((100-((Blad1!$C71-25)*($V$14)))/100))/100</f>
        <v>675.66013706614535</v>
      </c>
      <c r="Q202" s="105">
        <f t="shared" si="33"/>
        <v>19458.666990373382</v>
      </c>
      <c r="R202" s="52">
        <f>P202*((1+'Arnoud VDAB Pensioenopbouw'!$J$19/100)^($C$136-C202))</f>
        <v>792.77684777339118</v>
      </c>
      <c r="S202" s="49">
        <f t="shared" si="34"/>
        <v>38439.884335765106</v>
      </c>
      <c r="T202" s="51">
        <f>((K202/'Arnoud VDAB Pensioenopbouw'!$M$15)/R202)*100</f>
        <v>40.104148087244177</v>
      </c>
    </row>
    <row r="203" spans="3:20" ht="15" thickBot="1" x14ac:dyDescent="0.35">
      <c r="C203" s="63">
        <v>67</v>
      </c>
      <c r="D203" s="24"/>
      <c r="E203" s="299" t="s">
        <v>11</v>
      </c>
      <c r="F203" s="299"/>
      <c r="G203" s="299"/>
      <c r="H203" s="299"/>
      <c r="I203" s="299"/>
      <c r="J203" s="24">
        <f>(Blad1!$C$71-C203)+$J$79</f>
        <v>0</v>
      </c>
      <c r="K203" s="24"/>
      <c r="L203" s="25"/>
      <c r="M203" s="25"/>
      <c r="N203" s="25"/>
    </row>
    <row r="204" spans="3:20" ht="15" thickBot="1" x14ac:dyDescent="0.35">
      <c r="C204" s="50" t="s">
        <v>12</v>
      </c>
      <c r="D204" s="24"/>
      <c r="E204" s="300" t="s">
        <v>3</v>
      </c>
      <c r="F204" s="301"/>
      <c r="G204" s="24"/>
      <c r="H204" s="49">
        <f>SUM(H161:H202)</f>
        <v>176400</v>
      </c>
      <c r="I204" s="24"/>
      <c r="J204" s="24"/>
      <c r="K204" s="49">
        <f>SUM(K161:K202)</f>
        <v>376294.36426319845</v>
      </c>
      <c r="L204" s="25"/>
      <c r="M204" s="25"/>
      <c r="N204" s="25"/>
      <c r="P204" s="49">
        <f>SUM(P161:P202)</f>
        <v>19458.666990373382</v>
      </c>
      <c r="R204" s="49">
        <f>SUM(R161:R202)</f>
        <v>38439.884335765106</v>
      </c>
      <c r="T204" s="51">
        <f>((K204/'Arnoud VDAB Pensioenopbouw'!$M$15)/R204)*100</f>
        <v>63.155902205273428</v>
      </c>
    </row>
  </sheetData>
  <sheetProtection password="8D29" sheet="1" objects="1" scenarios="1"/>
  <mergeCells count="9">
    <mergeCell ref="AI66:AM66"/>
    <mergeCell ref="AI67:AJ67"/>
    <mergeCell ref="E203:I203"/>
    <mergeCell ref="E204:F204"/>
    <mergeCell ref="W2:X2"/>
    <mergeCell ref="E66:I66"/>
    <mergeCell ref="E67:F67"/>
    <mergeCell ref="E137:F137"/>
    <mergeCell ref="E136:I1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0"/>
  <sheetViews>
    <sheetView showRowColHeaders="0" topLeftCell="A34" workbookViewId="0">
      <selection activeCell="U17" sqref="U17"/>
    </sheetView>
  </sheetViews>
  <sheetFormatPr defaultRowHeight="14.4" x14ac:dyDescent="0.3"/>
  <sheetData>
    <row r="1" spans="2:20" x14ac:dyDescent="0.3">
      <c r="E1" s="2"/>
    </row>
    <row r="2" spans="2:20" x14ac:dyDescent="0.3">
      <c r="E2" s="2"/>
      <c r="T2" s="1"/>
    </row>
    <row r="3" spans="2:20" x14ac:dyDescent="0.3">
      <c r="E3" s="2"/>
      <c r="S3" s="3">
        <f>IF('Arnoud VDAB Pensioenopbouw'!J14&lt;20,20,'Arnoud VDAB Pensioenopbouw'!J14)</f>
        <v>20</v>
      </c>
      <c r="T3" s="3">
        <f>IF('Arnoud VDAB Pensioenopbouw'!K14="",0,'Arnoud VDAB Pensioenopbouw'!K14)</f>
        <v>0</v>
      </c>
    </row>
    <row r="4" spans="2:20" x14ac:dyDescent="0.3">
      <c r="E4" s="2"/>
      <c r="S4" s="3">
        <f>IF('Arnoud VDAB Pensioenopbouw'!J15&lt;S3,S3,'Arnoud VDAB Pensioenopbouw'!J15)</f>
        <v>35</v>
      </c>
      <c r="T4" s="3">
        <f>IF('Arnoud VDAB Pensioenopbouw'!K15="",0,'Arnoud VDAB Pensioenopbouw'!K15)</f>
        <v>0</v>
      </c>
    </row>
    <row r="5" spans="2:20" x14ac:dyDescent="0.3">
      <c r="E5" s="2"/>
      <c r="S5" s="3">
        <f>IF(Blad1!W6&lt;S4,S4,Blad1!W6)</f>
        <v>35</v>
      </c>
      <c r="T5" s="3">
        <f>IF(Blad1!X6="",0,Blad1!X6)</f>
        <v>0</v>
      </c>
    </row>
    <row r="6" spans="2:20" x14ac:dyDescent="0.3">
      <c r="E6" s="2"/>
      <c r="S6" s="3">
        <f>IF(Blad1!W7&lt;S5,S5,Blad1!W7)</f>
        <v>35</v>
      </c>
      <c r="T6" s="3">
        <f>IF(Blad1!X7="",0,Blad1!X7)</f>
        <v>0</v>
      </c>
    </row>
    <row r="7" spans="2:20" x14ac:dyDescent="0.3">
      <c r="E7" s="2"/>
      <c r="S7" s="3">
        <f>IF(Blad1!W8&lt;S6,S6,Blad1!W8)</f>
        <v>35</v>
      </c>
      <c r="T7" s="3">
        <f>IF(Blad1!X8="",0,Blad1!X8)</f>
        <v>0</v>
      </c>
    </row>
    <row r="8" spans="2:20" x14ac:dyDescent="0.3">
      <c r="B8" t="str">
        <f>IF(Blad1!C83=Blad2!$S$3,Blad2!$T$3,IF(Blad2!$S$4=Blad1!C83,Blad2!$T$4,IF(Blad2!$S$5=Blad1!C83,Blad2!$T$5,IF(Blad2!$S$6=Blad1!C83,Blad2!$T$6,""))))</f>
        <v/>
      </c>
      <c r="E8" s="2">
        <f>IF(B8&lt;&gt;"",B8,E7)</f>
        <v>0</v>
      </c>
      <c r="S8" s="3">
        <f>IF(Blad1!W9&lt;S7,S7,Blad1!W9)</f>
        <v>35</v>
      </c>
      <c r="T8" s="3">
        <f>IF(Blad1!X9="",0,Blad1!X9)</f>
        <v>0</v>
      </c>
    </row>
    <row r="9" spans="2:20" x14ac:dyDescent="0.3">
      <c r="B9">
        <f>IF(Blad1!C84=Blad2!$S$3,Blad2!$T$3,IF(Blad2!$S$4=Blad1!C84,Blad2!$T$4,IF(Blad2!$S$5=Blad1!C84,Blad2!$T$5,IF(Blad2!$S$6=Blad1!C84,Blad2!$T$6,IF(Blad2!$S$7=Blad1!C84,Blad2!$T$7,IF(Blad2!$S$8=Blad1!C84,Blad2!$T$8,IF(Blad2!$S$9=Blad1!C84,Blad2!$T$9,IF(Blad2!$S$10=Blad1!C84,Blad2!$T$10,""))))))))</f>
        <v>0</v>
      </c>
      <c r="D9">
        <v>1</v>
      </c>
      <c r="E9" s="2">
        <f t="shared" ref="E9:E70" si="0">IF(B9&lt;&gt;"",B9,E8)</f>
        <v>0</v>
      </c>
      <c r="S9" s="3">
        <f>IF(Blad1!W10&lt;S8,S8,Blad1!W10)</f>
        <v>35</v>
      </c>
      <c r="T9" s="3">
        <f>IF(Blad1!X10="",0,Blad1!X10)</f>
        <v>0</v>
      </c>
    </row>
    <row r="10" spans="2:20" x14ac:dyDescent="0.3">
      <c r="B10" t="str">
        <f>IF(Blad1!C85=Blad2!$S$3,Blad2!$T$3,IF(Blad2!$S$4=Blad1!C85,Blad2!$T$4,IF(Blad2!$S$5=Blad1!C85,Blad2!$T$5,IF(Blad2!$S$6=Blad1!C85,Blad2!$T$6,IF(Blad2!$S$7=Blad1!C85,Blad2!$T$7,IF(Blad2!$S$8=Blad1!C85,Blad2!$T$8,IF(Blad2!$S$9=Blad1!C85,Blad2!$T$9,IF(Blad2!$S$10=Blad1!C85,Blad2!$T$10,""))))))))</f>
        <v/>
      </c>
      <c r="E10" s="2">
        <f t="shared" si="0"/>
        <v>0</v>
      </c>
      <c r="S10" s="3">
        <f>IF(Blad1!W11&lt;S9,S9,Blad1!W11)</f>
        <v>35</v>
      </c>
      <c r="T10" s="3">
        <f>IF(Blad1!X11="",0,Blad1!X11)</f>
        <v>0</v>
      </c>
    </row>
    <row r="11" spans="2:20" x14ac:dyDescent="0.3">
      <c r="B11" t="str">
        <f>IF(Blad1!C86=Blad2!$S$3,Blad2!$T$3,IF(Blad2!$S$4=Blad1!C86,Blad2!$T$4,IF(Blad2!$S$5=Blad1!C86,Blad2!$T$5,IF(Blad2!$S$6=Blad1!C86,Blad2!$T$6,IF(Blad2!$S$7=Blad1!C86,Blad2!$T$7,IF(Blad2!$S$8=Blad1!C86,Blad2!$T$8,IF(Blad2!$S$9=Blad1!C86,Blad2!$T$9,IF(Blad2!$S$10=Blad1!C86,Blad2!$T$10,""))))))))</f>
        <v/>
      </c>
      <c r="E11" s="2">
        <f t="shared" si="0"/>
        <v>0</v>
      </c>
      <c r="T11" s="1"/>
    </row>
    <row r="12" spans="2:20" x14ac:dyDescent="0.3">
      <c r="B12" t="str">
        <f>IF(Blad1!C87=Blad2!$S$3,Blad2!$T$3,IF(Blad2!$S$4=Blad1!C87,Blad2!$T$4,IF(Blad2!$S$5=Blad1!C87,Blad2!$T$5,IF(Blad2!$S$6=Blad1!C87,Blad2!$T$6,IF(Blad2!$S$7=Blad1!C87,Blad2!$T$7,IF(Blad2!$S$8=Blad1!C87,Blad2!$T$8,IF(Blad2!$S$9=Blad1!C87,Blad2!$T$9,IF(Blad2!$S$10=Blad1!C87,Blad2!$T$10,""))))))))</f>
        <v/>
      </c>
      <c r="E12" s="2">
        <f t="shared" si="0"/>
        <v>0</v>
      </c>
    </row>
    <row r="13" spans="2:20" x14ac:dyDescent="0.3">
      <c r="B13" t="str">
        <f>IF(Blad1!C88=Blad2!$S$3,Blad2!$T$3,IF(Blad2!$S$4=Blad1!C88,Blad2!$T$4,IF(Blad2!$S$5=Blad1!C88,Blad2!$T$5,IF(Blad2!$S$6=Blad1!C88,Blad2!$T$6,IF(Blad2!$S$7=Blad1!C88,Blad2!$T$7,IF(Blad2!$S$8=Blad1!C88,Blad2!$T$8,IF(Blad2!$S$9=Blad1!C88,Blad2!$T$9,IF(Blad2!$S$10=Blad1!C88,Blad2!$T$10,""))))))))</f>
        <v/>
      </c>
      <c r="E13" s="2">
        <f>IF(B8&lt;&gt;"",B13,E12)</f>
        <v>0</v>
      </c>
    </row>
    <row r="14" spans="2:20" x14ac:dyDescent="0.3">
      <c r="B14" t="str">
        <f>IF(Blad1!C89=Blad2!$S$3,Blad2!$T$3,IF(Blad2!$S$4=Blad1!C89,Blad2!$T$4,IF(Blad2!$S$5=Blad1!C89,Blad2!$T$5,IF(Blad2!$S$6=Blad1!C89,Blad2!$T$6,IF(Blad2!$S$7=Blad1!C89,Blad2!$T$7,IF(Blad2!$S$8=Blad1!C89,Blad2!$T$8,IF(Blad2!$S$9=Blad1!C89,Blad2!$T$9,IF(Blad2!$S$10=Blad1!C89,Blad2!$T$10,""))))))))</f>
        <v/>
      </c>
      <c r="E14" s="2">
        <f>IF(B14&lt;&gt;"",B14,E13)</f>
        <v>0</v>
      </c>
    </row>
    <row r="15" spans="2:20" x14ac:dyDescent="0.3">
      <c r="B15" t="str">
        <f>IF(Blad1!C90=Blad2!$S$3,Blad2!$T$3,IF(Blad2!$S$4=Blad1!C90,Blad2!$T$4,IF(Blad2!$S$5=Blad1!C90,Blad2!$T$5,IF(Blad2!$S$6=Blad1!C90,Blad2!$T$6,IF(Blad2!$S$7=Blad1!C90,Blad2!$T$7,IF(Blad2!$S$8=Blad1!C90,Blad2!$T$8,IF(Blad2!$S$9=Blad1!C90,Blad2!$T$9,IF(Blad2!$S$10=Blad1!C90,Blad2!$T$10,""))))))))</f>
        <v/>
      </c>
      <c r="E15" s="2">
        <f t="shared" si="0"/>
        <v>0</v>
      </c>
    </row>
    <row r="16" spans="2:20" x14ac:dyDescent="0.3">
      <c r="B16" t="str">
        <f>IF(Blad1!C91=Blad2!$S$3,Blad2!$T$3,IF(Blad2!$S$4=Blad1!C91,Blad2!$T$4,IF(Blad2!$S$5=Blad1!C91,Blad2!$T$5,IF(Blad2!$S$6=Blad1!C91,Blad2!$T$6,IF(Blad2!$S$7=Blad1!C91,Blad2!$T$7,IF(Blad2!$S$8=Blad1!C91,Blad2!$T$8,IF(Blad2!$S$9=Blad1!C91,Blad2!$T$9,IF(Blad2!$S$10=Blad1!C91,Blad2!$T$10,""))))))))</f>
        <v/>
      </c>
      <c r="E16" s="2">
        <f t="shared" si="0"/>
        <v>0</v>
      </c>
    </row>
    <row r="17" spans="2:5" x14ac:dyDescent="0.3">
      <c r="B17" t="str">
        <f>IF(Blad1!C92=Blad2!$S$3,Blad2!$T$3,IF(Blad2!$S$4=Blad1!C92,Blad2!$T$4,IF(Blad2!$S$5=Blad1!C92,Blad2!$T$5,IF(Blad2!$S$6=Blad1!C92,Blad2!$T$6,IF(Blad2!$S$7=Blad1!C92,Blad2!$T$7,IF(Blad2!$S$8=Blad1!C92,Blad2!$T$8,IF(Blad2!$S$9=Blad1!C92,Blad2!$T$9,IF(Blad2!$S$10=Blad1!C92,Blad2!$T$10,""))))))))</f>
        <v/>
      </c>
      <c r="E17" s="2">
        <f t="shared" si="0"/>
        <v>0</v>
      </c>
    </row>
    <row r="18" spans="2:5" x14ac:dyDescent="0.3">
      <c r="B18" t="str">
        <f>IF(Blad1!C93=Blad2!$S$3,Blad2!$T$3,IF(Blad2!$S$4=Blad1!C93,Blad2!$T$4,IF(Blad2!$S$5=Blad1!C93,Blad2!$T$5,IF(Blad2!$S$6=Blad1!C93,Blad2!$T$6,IF(Blad2!$S$7=Blad1!C93,Blad2!$T$7,IF(Blad2!$S$8=Blad1!C93,Blad2!$T$8,IF(Blad2!$S$9=Blad1!C93,Blad2!$T$9,IF(Blad2!$S$10=Blad1!C93,Blad2!$T$10,""))))))))</f>
        <v/>
      </c>
      <c r="E18" s="2">
        <f t="shared" si="0"/>
        <v>0</v>
      </c>
    </row>
    <row r="19" spans="2:5" x14ac:dyDescent="0.3">
      <c r="B19" t="str">
        <f>IF(Blad1!C94=Blad2!$S$3,Blad2!$T$3,IF(Blad2!$S$4=Blad1!C94,Blad2!$T$4,IF(Blad2!$S$5=Blad1!C94,Blad2!$T$5,IF(Blad2!$S$6=Blad1!C94,Blad2!$T$6,IF(Blad2!$S$7=Blad1!C94,Blad2!$T$7,IF(Blad2!$S$8=Blad1!C94,Blad2!$T$8,IF(Blad2!$S$9=Blad1!C94,Blad2!$T$9,IF(Blad2!$S$10=Blad1!C94,Blad2!$T$10,""))))))))</f>
        <v/>
      </c>
      <c r="E19" s="2">
        <f t="shared" si="0"/>
        <v>0</v>
      </c>
    </row>
    <row r="20" spans="2:5" x14ac:dyDescent="0.3">
      <c r="B20" t="str">
        <f>IF(Blad1!C95=Blad2!$S$3,Blad2!$T$3,IF(Blad2!$S$4=Blad1!C95,Blad2!$T$4,IF(Blad2!$S$5=Blad1!C95,Blad2!$T$5,IF(Blad2!$S$6=Blad1!C95,Blad2!$T$6,IF(Blad2!$S$7=Blad1!C95,Blad2!$T$7,IF(Blad2!$S$8=Blad1!C95,Blad2!$T$8,IF(Blad2!$S$9=Blad1!C95,Blad2!$T$9,IF(Blad2!$S$10=Blad1!C95,Blad2!$T$10,""))))))))</f>
        <v/>
      </c>
      <c r="E20" s="2">
        <f t="shared" si="0"/>
        <v>0</v>
      </c>
    </row>
    <row r="21" spans="2:5" x14ac:dyDescent="0.3">
      <c r="B21" t="str">
        <f>IF(Blad1!C96=Blad2!$S$3,Blad2!$T$3,IF(Blad2!$S$4=Blad1!C96,Blad2!$T$4,IF(Blad2!$S$5=Blad1!C96,Blad2!$T$5,IF(Blad2!$S$6=Blad1!C96,Blad2!$T$6,IF(Blad2!$S$7=Blad1!C96,Blad2!$T$7,IF(Blad2!$S$8=Blad1!C96,Blad2!$T$8,IF(Blad2!$S$9=Blad1!C96,Blad2!$T$9,IF(Blad2!$S$10=Blad1!C96,Blad2!$T$10,""))))))))</f>
        <v/>
      </c>
      <c r="E21" s="2">
        <f t="shared" si="0"/>
        <v>0</v>
      </c>
    </row>
    <row r="22" spans="2:5" x14ac:dyDescent="0.3">
      <c r="B22" t="str">
        <f>IF(Blad1!C97=Blad2!$S$3,Blad2!$T$3,IF(Blad2!$S$4=Blad1!C97,Blad2!$T$4,IF(Blad2!$S$5=Blad1!C97,Blad2!$T$5,IF(Blad2!$S$6=Blad1!C97,Blad2!$T$6,IF(Blad2!$S$7=Blad1!C97,Blad2!$T$7,IF(Blad2!$S$8=Blad1!C97,Blad2!$T$8,IF(Blad2!$S$9=Blad1!C97,Blad2!$T$9,IF(Blad2!$S$10=Blad1!C97,Blad2!$T$10,""))))))))</f>
        <v/>
      </c>
      <c r="E22" s="2">
        <f t="shared" si="0"/>
        <v>0</v>
      </c>
    </row>
    <row r="23" spans="2:5" x14ac:dyDescent="0.3">
      <c r="B23" t="str">
        <f>IF(Blad1!C98=Blad2!$S$3,Blad2!$T$3,IF(Blad2!$S$4=Blad1!C98,Blad2!$T$4,IF(Blad2!$S$5=Blad1!C98,Blad2!$T$5,IF(Blad2!$S$6=Blad1!C98,Blad2!$T$6,IF(Blad2!$S$7=Blad1!C98,Blad2!$T$7,IF(Blad2!$S$8=Blad1!C98,Blad2!$T$8,IF(Blad2!$S$9=Blad1!C98,Blad2!$T$9,IF(Blad2!$S$10=Blad1!C98,Blad2!$T$10,""))))))))</f>
        <v/>
      </c>
      <c r="E23" s="2">
        <f t="shared" si="0"/>
        <v>0</v>
      </c>
    </row>
    <row r="24" spans="2:5" x14ac:dyDescent="0.3">
      <c r="B24">
        <f>IF(Blad1!C99=Blad2!$S$3,Blad2!$T$3,IF(Blad2!$S$4=Blad1!C99,Blad2!$T$4,IF(Blad2!$S$5=Blad1!C99,Blad2!$T$5,IF(Blad2!$S$6=Blad1!C99,Blad2!$T$6,IF(Blad2!$S$7=Blad1!C99,Blad2!$T$7,IF(Blad2!$S$8=Blad1!C99,Blad2!$T$8,IF(Blad2!$S$9=Blad1!C99,Blad2!$T$9,IF(Blad2!$S$10=Blad1!C99,Blad2!$T$10,""))))))))</f>
        <v>0</v>
      </c>
      <c r="E24" s="2">
        <f t="shared" si="0"/>
        <v>0</v>
      </c>
    </row>
    <row r="25" spans="2:5" x14ac:dyDescent="0.3">
      <c r="B25" t="str">
        <f>IF(Blad1!C100=Blad2!$S$3,Blad2!$T$3,IF(Blad2!$S$4=Blad1!C100,Blad2!$T$4,IF(Blad2!$S$5=Blad1!C100,Blad2!$T$5,IF(Blad2!$S$6=Blad1!C100,Blad2!$T$6,IF(Blad2!$S$7=Blad1!C100,Blad2!$T$7,IF(Blad2!$S$8=Blad1!C100,Blad2!$T$8,IF(Blad2!$S$9=Blad1!C100,Blad2!$T$9,IF(Blad2!$S$10=Blad1!C100,Blad2!$T$10,""))))))))</f>
        <v/>
      </c>
      <c r="E25" s="2">
        <f t="shared" si="0"/>
        <v>0</v>
      </c>
    </row>
    <row r="26" spans="2:5" x14ac:dyDescent="0.3">
      <c r="B26" t="str">
        <f>IF(Blad1!C101=Blad2!$S$3,Blad2!$T$3,IF(Blad2!$S$4=Blad1!C101,Blad2!$T$4,IF(Blad2!$S$5=Blad1!C101,Blad2!$T$5,IF(Blad2!$S$6=Blad1!C101,Blad2!$T$6,IF(Blad2!$S$7=Blad1!C101,Blad2!$T$7,IF(Blad2!$S$8=Blad1!C101,Blad2!$T$8,IF(Blad2!$S$9=Blad1!C101,Blad2!$T$9,IF(Blad2!$S$10=Blad1!C101,Blad2!$T$10,""))))))))</f>
        <v/>
      </c>
      <c r="E26" s="2">
        <f t="shared" si="0"/>
        <v>0</v>
      </c>
    </row>
    <row r="27" spans="2:5" x14ac:dyDescent="0.3">
      <c r="B27" t="str">
        <f>IF(Blad1!C102=Blad2!$S$3,Blad2!$T$3,IF(Blad2!$S$4=Blad1!C102,Blad2!$T$4,IF(Blad2!$S$5=Blad1!C102,Blad2!$T$5,IF(Blad2!$S$6=Blad1!C102,Blad2!$T$6,IF(Blad2!$S$7=Blad1!C102,Blad2!$T$7,IF(Blad2!$S$8=Blad1!C102,Blad2!$T$8,IF(Blad2!$S$9=Blad1!C102,Blad2!$T$9,IF(Blad2!$S$10=Blad1!C102,Blad2!$T$10,""))))))))</f>
        <v/>
      </c>
      <c r="E27" s="2">
        <f t="shared" si="0"/>
        <v>0</v>
      </c>
    </row>
    <row r="28" spans="2:5" x14ac:dyDescent="0.3">
      <c r="B28" t="str">
        <f>IF(Blad1!C103=Blad2!$S$3,Blad2!$T$3,IF(Blad2!$S$4=Blad1!C103,Blad2!$T$4,IF(Blad2!$S$5=Blad1!C103,Blad2!$T$5,IF(Blad2!$S$6=Blad1!C103,Blad2!$T$6,IF(Blad2!$S$7=Blad1!C103,Blad2!$T$7,IF(Blad2!$S$8=Blad1!C103,Blad2!$T$8,IF(Blad2!$S$9=Blad1!C103,Blad2!$T$9,IF(Blad2!$S$10=Blad1!C103,Blad2!$T$10,""))))))))</f>
        <v/>
      </c>
      <c r="E28" s="2">
        <f t="shared" si="0"/>
        <v>0</v>
      </c>
    </row>
    <row r="29" spans="2:5" x14ac:dyDescent="0.3">
      <c r="B29" t="str">
        <f>IF(Blad1!C104=Blad2!$S$3,Blad2!$T$3,IF(Blad2!$S$4=Blad1!C104,Blad2!$T$4,IF(Blad2!$S$5=Blad1!C104,Blad2!$T$5,IF(Blad2!$S$6=Blad1!C104,Blad2!$T$6,IF(Blad2!$S$7=Blad1!C104,Blad2!$T$7,IF(Blad2!$S$8=Blad1!C104,Blad2!$T$8,IF(Blad2!$S$9=Blad1!C104,Blad2!$T$9,IF(Blad2!$S$10=Blad1!C104,Blad2!$T$10,""))))))))</f>
        <v/>
      </c>
      <c r="E29" s="2">
        <f t="shared" si="0"/>
        <v>0</v>
      </c>
    </row>
    <row r="30" spans="2:5" x14ac:dyDescent="0.3">
      <c r="B30" t="str">
        <f>IF(Blad1!C105=Blad2!$S$3,Blad2!$T$3,IF(Blad2!$S$4=Blad1!C105,Blad2!$T$4,IF(Blad2!$S$5=Blad1!C105,Blad2!$T$5,IF(Blad2!$S$6=Blad1!C105,Blad2!$T$6,IF(Blad2!$S$7=Blad1!C105,Blad2!$T$7,IF(Blad2!$S$8=Blad1!C105,Blad2!$T$8,IF(Blad2!$S$9=Blad1!C105,Blad2!$T$9,IF(Blad2!$S$10=Blad1!C105,Blad2!$T$10,""))))))))</f>
        <v/>
      </c>
      <c r="E30" s="2">
        <f t="shared" si="0"/>
        <v>0</v>
      </c>
    </row>
    <row r="31" spans="2:5" x14ac:dyDescent="0.3">
      <c r="B31" t="str">
        <f>IF(Blad1!C106=Blad2!$S$3,Blad2!$T$3,IF(Blad2!$S$4=Blad1!C106,Blad2!$T$4,IF(Blad2!$S$5=Blad1!C106,Blad2!$T$5,IF(Blad2!$S$6=Blad1!C106,Blad2!$T$6,IF(Blad2!$S$7=Blad1!C106,Blad2!$T$7,IF(Blad2!$S$8=Blad1!C106,Blad2!$T$8,IF(Blad2!$S$9=Blad1!C106,Blad2!$T$9,IF(Blad2!$S$10=Blad1!C106,Blad2!$T$10,""))))))))</f>
        <v/>
      </c>
      <c r="E31" s="2">
        <f t="shared" si="0"/>
        <v>0</v>
      </c>
    </row>
    <row r="32" spans="2:5" x14ac:dyDescent="0.3">
      <c r="B32" t="str">
        <f>IF(Blad1!C107=Blad2!$S$3,Blad2!$T$3,IF(Blad2!$S$4=Blad1!C107,Blad2!$T$4,IF(Blad2!$S$5=Blad1!C107,Blad2!$T$5,IF(Blad2!$S$6=Blad1!C107,Blad2!$T$6,IF(Blad2!$S$7=Blad1!C107,Blad2!$T$7,IF(Blad2!$S$8=Blad1!C107,Blad2!$T$8,IF(Blad2!$S$9=Blad1!C107,Blad2!$T$9,IF(Blad2!$S$10=Blad1!C107,Blad2!$T$10,""))))))))</f>
        <v/>
      </c>
      <c r="E32" s="2">
        <f t="shared" si="0"/>
        <v>0</v>
      </c>
    </row>
    <row r="33" spans="2:5" x14ac:dyDescent="0.3">
      <c r="B33" t="str">
        <f>IF(Blad1!C108=Blad2!$S$3,Blad2!$T$3,IF(Blad2!$S$4=Blad1!C108,Blad2!$T$4,IF(Blad2!$S$5=Blad1!C108,Blad2!$T$5,IF(Blad2!$S$6=Blad1!C108,Blad2!$T$6,IF(Blad2!$S$7=Blad1!C108,Blad2!$T$7,IF(Blad2!$S$8=Blad1!C108,Blad2!$T$8,IF(Blad2!$S$9=Blad1!C108,Blad2!$T$9,IF(Blad2!$S$10=Blad1!C108,Blad2!$T$10,""))))))))</f>
        <v/>
      </c>
      <c r="E33" s="2">
        <f t="shared" si="0"/>
        <v>0</v>
      </c>
    </row>
    <row r="34" spans="2:5" x14ac:dyDescent="0.3">
      <c r="B34" t="str">
        <f>IF(Blad1!C109=Blad2!$S$3,Blad2!$T$3,IF(Blad2!$S$4=Blad1!C109,Blad2!$T$4,IF(Blad2!$S$5=Blad1!C109,Blad2!$T$5,IF(Blad2!$S$6=Blad1!C109,Blad2!$T$6,IF(Blad2!$S$7=Blad1!C109,Blad2!$T$7,IF(Blad2!$S$8=Blad1!C109,Blad2!$T$8,IF(Blad2!$S$9=Blad1!C109,Blad2!$T$9,IF(Blad2!$S$10=Blad1!C109,Blad2!$T$10,""))))))))</f>
        <v/>
      </c>
      <c r="E34" s="2">
        <f t="shared" si="0"/>
        <v>0</v>
      </c>
    </row>
    <row r="35" spans="2:5" x14ac:dyDescent="0.3">
      <c r="B35" t="str">
        <f>IF(Blad1!C110=Blad2!$S$3,Blad2!$T$3,IF(Blad2!$S$4=Blad1!C110,Blad2!$T$4,IF(Blad2!$S$5=Blad1!C110,Blad2!$T$5,IF(Blad2!$S$6=Blad1!C110,Blad2!$T$6,IF(Blad2!$S$7=Blad1!C110,Blad2!$T$7,IF(Blad2!$S$8=Blad1!C110,Blad2!$T$8,IF(Blad2!$S$9=Blad1!C110,Blad2!$T$9,IF(Blad2!$S$10=Blad1!C110,Blad2!$T$10,""))))))))</f>
        <v/>
      </c>
      <c r="E35" s="2">
        <f t="shared" si="0"/>
        <v>0</v>
      </c>
    </row>
    <row r="36" spans="2:5" x14ac:dyDescent="0.3">
      <c r="B36" t="str">
        <f>IF(Blad1!C111=Blad2!$S$3,Blad2!$T$3,IF(Blad2!$S$4=Blad1!C111,Blad2!$T$4,IF(Blad2!$S$5=Blad1!C111,Blad2!$T$5,IF(Blad2!$S$6=Blad1!C111,Blad2!$T$6,IF(Blad2!$S$7=Blad1!C111,Blad2!$T$7,IF(Blad2!$S$8=Blad1!C111,Blad2!$T$8,IF(Blad2!$S$9=Blad1!C111,Blad2!$T$9,IF(Blad2!$S$10=Blad1!C111,Blad2!$T$10,""))))))))</f>
        <v/>
      </c>
      <c r="E36" s="2">
        <f t="shared" si="0"/>
        <v>0</v>
      </c>
    </row>
    <row r="37" spans="2:5" x14ac:dyDescent="0.3">
      <c r="B37" t="str">
        <f>IF(Blad1!C112=Blad2!$S$3,Blad2!$T$3,IF(Blad2!$S$4=Blad1!C112,Blad2!$T$4,IF(Blad2!$S$5=Blad1!C112,Blad2!$T$5,IF(Blad2!$S$6=Blad1!C112,Blad2!$T$6,IF(Blad2!$S$7=Blad1!C112,Blad2!$T$7,IF(Blad2!$S$8=Blad1!C112,Blad2!$T$8,IF(Blad2!$S$9=Blad1!C112,Blad2!$T$9,IF(Blad2!$S$10=Blad1!C112,Blad2!$T$10,""))))))))</f>
        <v/>
      </c>
      <c r="E37" s="2">
        <f t="shared" si="0"/>
        <v>0</v>
      </c>
    </row>
    <row r="38" spans="2:5" x14ac:dyDescent="0.3">
      <c r="B38" t="str">
        <f>IF(Blad1!C113=Blad2!$S$3,Blad2!$T$3,IF(Blad2!$S$4=Blad1!C113,Blad2!$T$4,IF(Blad2!$S$5=Blad1!C113,Blad2!$T$5,IF(Blad2!$S$6=Blad1!C113,Blad2!$T$6,IF(Blad2!$S$7=Blad1!C113,Blad2!$T$7,IF(Blad2!$S$8=Blad1!C113,Blad2!$T$8,IF(Blad2!$S$9=Blad1!C113,Blad2!$T$9,IF(Blad2!$S$10=Blad1!C113,Blad2!$T$10,""))))))))</f>
        <v/>
      </c>
      <c r="E38" s="2">
        <f t="shared" si="0"/>
        <v>0</v>
      </c>
    </row>
    <row r="39" spans="2:5" x14ac:dyDescent="0.3">
      <c r="B39" t="str">
        <f>IF(Blad1!C114=Blad2!$S$3,Blad2!$T$3,IF(Blad2!$S$4=Blad1!C114,Blad2!$T$4,IF(Blad2!$S$5=Blad1!C114,Blad2!$T$5,IF(Blad2!$S$6=Blad1!C114,Blad2!$T$6,IF(Blad2!$S$7=Blad1!C114,Blad2!$T$7,IF(Blad2!$S$8=Blad1!C114,Blad2!$T$8,IF(Blad2!$S$9=Blad1!C114,Blad2!$T$9,IF(Blad2!$S$10=Blad1!C114,Blad2!$T$10,""))))))))</f>
        <v/>
      </c>
      <c r="E39" s="2">
        <f t="shared" si="0"/>
        <v>0</v>
      </c>
    </row>
    <row r="40" spans="2:5" x14ac:dyDescent="0.3">
      <c r="B40" t="str">
        <f>IF(Blad1!C115=Blad2!$S$3,Blad2!$T$3,IF(Blad2!$S$4=Blad1!C115,Blad2!$T$4,IF(Blad2!$S$5=Blad1!C115,Blad2!$T$5,IF(Blad2!$S$6=Blad1!C115,Blad2!$T$6,IF(Blad2!$S$7=Blad1!C115,Blad2!$T$7,IF(Blad2!$S$8=Blad1!C115,Blad2!$T$8,IF(Blad2!$S$9=Blad1!C115,Blad2!$T$9,IF(Blad2!$S$10=Blad1!C115,Blad2!$T$10,""))))))))</f>
        <v/>
      </c>
      <c r="E40" s="2">
        <f t="shared" si="0"/>
        <v>0</v>
      </c>
    </row>
    <row r="41" spans="2:5" x14ac:dyDescent="0.3">
      <c r="B41" t="str">
        <f>IF(Blad1!C116=Blad2!$S$3,Blad2!$T$3,IF(Blad2!$S$4=Blad1!C116,Blad2!$T$4,IF(Blad2!$S$5=Blad1!C116,Blad2!$T$5,IF(Blad2!$S$6=Blad1!C116,Blad2!$T$6,IF(Blad2!$S$7=Blad1!C116,Blad2!$T$7,IF(Blad2!$S$8=Blad1!C116,Blad2!$T$8,IF(Blad2!$S$9=Blad1!C116,Blad2!$T$9,IF(Blad2!$S$10=Blad1!C116,Blad2!$T$10,""))))))))</f>
        <v/>
      </c>
      <c r="E41" s="2">
        <f t="shared" si="0"/>
        <v>0</v>
      </c>
    </row>
    <row r="42" spans="2:5" x14ac:dyDescent="0.3">
      <c r="B42" t="str">
        <f>IF(Blad1!C117=Blad2!$S$3,Blad2!$T$3,IF(Blad2!$S$4=Blad1!C117,Blad2!$T$4,IF(Blad2!$S$5=Blad1!C117,Blad2!$T$5,IF(Blad2!$S$6=Blad1!C117,Blad2!$T$6,IF(Blad2!$S$7=Blad1!C117,Blad2!$T$7,IF(Blad2!$S$8=Blad1!C117,Blad2!$T$8,IF(Blad2!$S$9=Blad1!C117,Blad2!$T$9,IF(Blad2!$S$10=Blad1!C117,Blad2!$T$10,""))))))))</f>
        <v/>
      </c>
      <c r="E42" s="2">
        <f t="shared" si="0"/>
        <v>0</v>
      </c>
    </row>
    <row r="43" spans="2:5" x14ac:dyDescent="0.3">
      <c r="B43" t="str">
        <f>IF(Blad1!C118=Blad2!$S$3,Blad2!$T$3,IF(Blad2!$S$4=Blad1!C118,Blad2!$T$4,IF(Blad2!$S$5=Blad1!C118,Blad2!$T$5,IF(Blad2!$S$6=Blad1!C118,Blad2!$T$6,IF(Blad2!$S$7=Blad1!C118,Blad2!$T$7,IF(Blad2!$S$8=Blad1!C118,Blad2!$T$8,IF(Blad2!$S$9=Blad1!C118,Blad2!$T$9,IF(Blad2!$S$10=Blad1!C118,Blad2!$T$10,""))))))))</f>
        <v/>
      </c>
      <c r="E43" s="2">
        <f t="shared" si="0"/>
        <v>0</v>
      </c>
    </row>
    <row r="44" spans="2:5" x14ac:dyDescent="0.3">
      <c r="B44" t="str">
        <f>IF(Blad1!C119=Blad2!$S$3,Blad2!$T$3,IF(Blad2!$S$4=Blad1!C119,Blad2!$T$4,IF(Blad2!$S$5=Blad1!C119,Blad2!$T$5,IF(Blad2!$S$6=Blad1!C119,Blad2!$T$6,IF(Blad2!$S$7=Blad1!C119,Blad2!$T$7,IF(Blad2!$S$8=Blad1!C119,Blad2!$T$8,IF(Blad2!$S$9=Blad1!C119,Blad2!$T$9,IF(Blad2!$S$10=Blad1!C119,Blad2!$T$10,""))))))))</f>
        <v/>
      </c>
      <c r="E44" s="2">
        <f t="shared" si="0"/>
        <v>0</v>
      </c>
    </row>
    <row r="45" spans="2:5" x14ac:dyDescent="0.3">
      <c r="B45" t="str">
        <f>IF(Blad1!C120=Blad2!$S$3,Blad2!$T$3,IF(Blad2!$S$4=Blad1!C120,Blad2!$T$4,IF(Blad2!$S$5=Blad1!C120,Blad2!$T$5,IF(Blad2!$S$6=Blad1!C120,Blad2!$T$6,IF(Blad2!$S$7=Blad1!C120,Blad2!$T$7,IF(Blad2!$S$8=Blad1!C120,Blad2!$T$8,IF(Blad2!$S$9=Blad1!C120,Blad2!$T$9,IF(Blad2!$S$10=Blad1!C120,Blad2!$T$10,""))))))))</f>
        <v/>
      </c>
      <c r="E45" s="2">
        <f t="shared" si="0"/>
        <v>0</v>
      </c>
    </row>
    <row r="46" spans="2:5" x14ac:dyDescent="0.3">
      <c r="B46" t="str">
        <f>IF(Blad1!C121=Blad2!$S$3,Blad2!$T$3,IF(Blad2!$S$4=Blad1!C121,Blad2!$T$4,IF(Blad2!$S$5=Blad1!C121,Blad2!$T$5,IF(Blad2!$S$6=Blad1!C121,Blad2!$T$6,IF(Blad2!$S$7=Blad1!C121,Blad2!$T$7,IF(Blad2!$S$8=Blad1!C121,Blad2!$T$8,IF(Blad2!$S$9=Blad1!C121,Blad2!$T$9,IF(Blad2!$S$10=Blad1!C121,Blad2!$T$10,""))))))))</f>
        <v/>
      </c>
      <c r="E46" s="2">
        <f t="shared" si="0"/>
        <v>0</v>
      </c>
    </row>
    <row r="47" spans="2:5" x14ac:dyDescent="0.3">
      <c r="B47" t="str">
        <f>IF(Blad1!C122=Blad2!$S$3,Blad2!$T$3,IF(Blad2!$S$4=Blad1!C122,Blad2!$T$4,IF(Blad2!$S$5=Blad1!C122,Blad2!$T$5,IF(Blad2!$S$6=Blad1!C122,Blad2!$T$6,IF(Blad2!$S$7=Blad1!C122,Blad2!$T$7,IF(Blad2!$S$8=Blad1!C122,Blad2!$T$8,IF(Blad2!$S$9=Blad1!C122,Blad2!$T$9,IF(Blad2!$S$10=Blad1!C122,Blad2!$T$10,""))))))))</f>
        <v/>
      </c>
      <c r="E47" s="2">
        <f t="shared" si="0"/>
        <v>0</v>
      </c>
    </row>
    <row r="48" spans="2:5" x14ac:dyDescent="0.3">
      <c r="B48" t="str">
        <f>IF(Blad1!C123=Blad2!$S$3,Blad2!$T$3,IF(Blad2!$S$4=Blad1!C123,Blad2!$T$4,IF(Blad2!$S$5=Blad1!C123,Blad2!$T$5,IF(Blad2!$S$6=Blad1!C123,Blad2!$T$6,IF(Blad2!$S$7=Blad1!C123,Blad2!$T$7,IF(Blad2!$S$8=Blad1!C123,Blad2!$T$8,IF(Blad2!$S$9=Blad1!C123,Blad2!$T$9,IF(Blad2!$S$10=Blad1!C123,Blad2!$T$10,""))))))))</f>
        <v/>
      </c>
      <c r="E48" s="2">
        <f t="shared" si="0"/>
        <v>0</v>
      </c>
    </row>
    <row r="49" spans="2:5" x14ac:dyDescent="0.3">
      <c r="B49" t="str">
        <f>IF(Blad1!C124=Blad2!$S$3,Blad2!$T$3,IF(Blad2!$S$4=Blad1!C124,Blad2!$T$4,IF(Blad2!$S$5=Blad1!C124,Blad2!$T$5,IF(Blad2!$S$6=Blad1!C124,Blad2!$T$6,IF(Blad2!$S$7=Blad1!C124,Blad2!$T$7,IF(Blad2!$S$8=Blad1!C124,Blad2!$T$8,IF(Blad2!$S$9=Blad1!C124,Blad2!$T$9,IF(Blad2!$S$10=Blad1!C124,Blad2!$T$10,""))))))))</f>
        <v/>
      </c>
      <c r="E49" s="2">
        <f t="shared" si="0"/>
        <v>0</v>
      </c>
    </row>
    <row r="50" spans="2:5" x14ac:dyDescent="0.3">
      <c r="B50" t="str">
        <f>IF(Blad1!C71=Blad2!$S$3,Blad2!$T$3,IF(Blad2!$S$4=Blad1!C71,Blad2!$T$4,IF(Blad2!$S$5=Blad1!C71,Blad2!$T$5,IF(Blad2!$S$6=Blad1!C71,Blad2!$T$6,IF(Blad2!$S$7=Blad1!C71,Blad2!$T$7,IF(Blad2!$S$8=Blad1!C71,Blad2!$T$8,IF(Blad2!$S$9=Blad1!C71,Blad2!$T$9,IF(Blad2!$S$10=Blad1!C71,Blad2!$T$10,""))))))))</f>
        <v/>
      </c>
      <c r="E50" s="2">
        <f t="shared" si="0"/>
        <v>0</v>
      </c>
    </row>
    <row r="51" spans="2:5" x14ac:dyDescent="0.3">
      <c r="E51" s="2">
        <f t="shared" si="0"/>
        <v>0</v>
      </c>
    </row>
    <row r="52" spans="2:5" x14ac:dyDescent="0.3">
      <c r="E52" s="2">
        <f t="shared" si="0"/>
        <v>0</v>
      </c>
    </row>
    <row r="53" spans="2:5" x14ac:dyDescent="0.3">
      <c r="E53" s="2">
        <f t="shared" si="0"/>
        <v>0</v>
      </c>
    </row>
    <row r="54" spans="2:5" x14ac:dyDescent="0.3">
      <c r="E54" s="2">
        <f t="shared" si="0"/>
        <v>0</v>
      </c>
    </row>
    <row r="55" spans="2:5" x14ac:dyDescent="0.3">
      <c r="E55" s="2">
        <f t="shared" si="0"/>
        <v>0</v>
      </c>
    </row>
    <row r="56" spans="2:5" x14ac:dyDescent="0.3">
      <c r="E56" s="2">
        <f t="shared" si="0"/>
        <v>0</v>
      </c>
    </row>
    <row r="57" spans="2:5" x14ac:dyDescent="0.3">
      <c r="E57" s="2">
        <f t="shared" si="0"/>
        <v>0</v>
      </c>
    </row>
    <row r="58" spans="2:5" x14ac:dyDescent="0.3">
      <c r="E58" s="2">
        <f t="shared" si="0"/>
        <v>0</v>
      </c>
    </row>
    <row r="59" spans="2:5" x14ac:dyDescent="0.3">
      <c r="E59" s="2">
        <f t="shared" si="0"/>
        <v>0</v>
      </c>
    </row>
    <row r="60" spans="2:5" x14ac:dyDescent="0.3">
      <c r="E60" s="2">
        <f t="shared" si="0"/>
        <v>0</v>
      </c>
    </row>
    <row r="61" spans="2:5" x14ac:dyDescent="0.3">
      <c r="E61" s="2">
        <f t="shared" si="0"/>
        <v>0</v>
      </c>
    </row>
    <row r="62" spans="2:5" x14ac:dyDescent="0.3">
      <c r="E62" s="2">
        <f t="shared" si="0"/>
        <v>0</v>
      </c>
    </row>
    <row r="63" spans="2:5" x14ac:dyDescent="0.3">
      <c r="E63" s="2">
        <f t="shared" si="0"/>
        <v>0</v>
      </c>
    </row>
    <row r="64" spans="2:5" x14ac:dyDescent="0.3">
      <c r="E64" s="2">
        <f t="shared" si="0"/>
        <v>0</v>
      </c>
    </row>
    <row r="65" spans="5:5" x14ac:dyDescent="0.3">
      <c r="E65" s="2">
        <f t="shared" si="0"/>
        <v>0</v>
      </c>
    </row>
    <row r="66" spans="5:5" x14ac:dyDescent="0.3">
      <c r="E66" s="2">
        <f t="shared" si="0"/>
        <v>0</v>
      </c>
    </row>
    <row r="67" spans="5:5" x14ac:dyDescent="0.3">
      <c r="E67" s="2">
        <f t="shared" si="0"/>
        <v>0</v>
      </c>
    </row>
    <row r="68" spans="5:5" x14ac:dyDescent="0.3">
      <c r="E68" s="2">
        <f t="shared" si="0"/>
        <v>0</v>
      </c>
    </row>
    <row r="69" spans="5:5" x14ac:dyDescent="0.3">
      <c r="E69" s="2">
        <f t="shared" si="0"/>
        <v>0</v>
      </c>
    </row>
    <row r="70" spans="5:5" x14ac:dyDescent="0.3">
      <c r="E70" s="2">
        <f t="shared" si="0"/>
        <v>0</v>
      </c>
    </row>
  </sheetData>
  <sheetProtection password="8D29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28" workbookViewId="0">
      <selection activeCell="S56" sqref="S56"/>
    </sheetView>
  </sheetViews>
  <sheetFormatPr defaultRowHeight="14.4" x14ac:dyDescent="0.3"/>
  <cols>
    <col min="1" max="1" width="9.109375" style="25"/>
    <col min="2" max="2" width="10" style="25" bestFit="1" customWidth="1"/>
    <col min="3" max="3" width="9.109375" style="25"/>
    <col min="6" max="6" width="9.109375" style="25"/>
    <col min="8" max="8" width="9.109375" style="25"/>
    <col min="13" max="13" width="9.109375" style="25"/>
    <col min="14" max="14" width="12.6640625" bestFit="1" customWidth="1"/>
    <col min="15" max="15" width="9.109375" style="25"/>
    <col min="17" max="17" width="9.109375" style="25"/>
    <col min="19" max="19" width="9.5546875" bestFit="1" customWidth="1"/>
    <col min="20" max="20" width="9" bestFit="1" customWidth="1"/>
    <col min="21" max="21" width="9.44140625" bestFit="1" customWidth="1"/>
    <col min="22" max="23" width="8.88671875" style="25"/>
    <col min="27" max="27" width="15.44140625" customWidth="1"/>
  </cols>
  <sheetData>
    <row r="1" spans="1:23" x14ac:dyDescent="0.3">
      <c r="A1" s="25" t="s">
        <v>4</v>
      </c>
      <c r="B1" s="25" t="s">
        <v>76</v>
      </c>
      <c r="C1" s="25" t="s">
        <v>75</v>
      </c>
      <c r="E1" s="153">
        <f>Blad1!J9</f>
        <v>0</v>
      </c>
      <c r="F1" s="25" t="s">
        <v>79</v>
      </c>
      <c r="G1" s="25" t="s">
        <v>80</v>
      </c>
      <c r="M1" s="25" t="s">
        <v>0</v>
      </c>
      <c r="N1" t="s">
        <v>137</v>
      </c>
    </row>
    <row r="2" spans="1:23" x14ac:dyDescent="0.3">
      <c r="A2" s="191">
        <v>20</v>
      </c>
      <c r="B2" s="192">
        <f>$B$70</f>
        <v>68</v>
      </c>
      <c r="C2" s="120">
        <f>Blad1!F84</f>
        <v>16000</v>
      </c>
      <c r="D2" s="215">
        <f t="shared" ref="D2:D33" si="0">C2*($B$57^($B$70-B2))/100</f>
        <v>160</v>
      </c>
      <c r="E2" s="121"/>
      <c r="F2" s="122">
        <f t="shared" ref="F2:F33" si="1">($D$60*C2*($B$57^(($B$2-$A$2)-($B$2-A2)+$E$1))/100)</f>
        <v>1910.4045633788226</v>
      </c>
      <c r="G2" s="122">
        <f t="shared" ref="G2:G33" si="2">F2*($B$57^(($B$2-$A$2)-($B$2-B3+$E$1)))</f>
        <v>6682.4573548766712</v>
      </c>
      <c r="H2" s="122">
        <f>G2</f>
        <v>6682.4573548766712</v>
      </c>
      <c r="I2" s="126">
        <f>F2</f>
        <v>1910.4045633788226</v>
      </c>
      <c r="J2" s="126">
        <f>G2</f>
        <v>6682.4573548766712</v>
      </c>
      <c r="K2" s="126">
        <f>H2</f>
        <v>6682.4573548766712</v>
      </c>
      <c r="M2" s="116">
        <f>Blad1!R84</f>
        <v>1049.378359376057</v>
      </c>
      <c r="N2" s="257">
        <f>IF($J$65="J",P2,G2)</f>
        <v>6682.4573548766712</v>
      </c>
      <c r="O2" s="122">
        <f t="shared" ref="O2:O33" si="3">F2*$G$65</f>
        <v>2173.0542005033308</v>
      </c>
      <c r="P2" s="122">
        <f t="shared" ref="P2:P33" si="4">G2*$G$65</f>
        <v>7601.1868391981152</v>
      </c>
      <c r="Q2" s="122">
        <f>P2</f>
        <v>7601.1868391981152</v>
      </c>
      <c r="S2" s="146">
        <f>IF($J$65="J",O2,F2)</f>
        <v>1910.4045633788226</v>
      </c>
      <c r="T2" s="146">
        <f>IF($J$65="J",P2,G2)</f>
        <v>6682.4573548766712</v>
      </c>
      <c r="U2" s="146">
        <f>IF($J$65="J",Q2,H2)</f>
        <v>6682.4573548766712</v>
      </c>
      <c r="W2" s="25">
        <v>20</v>
      </c>
    </row>
    <row r="3" spans="1:23" x14ac:dyDescent="0.3">
      <c r="A3" s="191">
        <v>21</v>
      </c>
      <c r="B3" s="193">
        <f t="shared" ref="B3:B34" si="5">B2-1</f>
        <v>67</v>
      </c>
      <c r="C3" s="116">
        <f>Blad1!F85</f>
        <v>16320</v>
      </c>
      <c r="D3" s="215">
        <f t="shared" si="0"/>
        <v>167.60640000000001</v>
      </c>
      <c r="F3" s="122">
        <f t="shared" si="1"/>
        <v>2001.2251963218516</v>
      </c>
      <c r="G3" s="122">
        <f t="shared" si="2"/>
        <v>6816.1065019742036</v>
      </c>
      <c r="H3" s="102">
        <f t="shared" ref="H3:H34" si="6">H2+G3</f>
        <v>13498.563856850875</v>
      </c>
      <c r="N3" s="257">
        <f t="shared" ref="N3:N53" si="7">IF($J$65="J",P3,G3)</f>
        <v>6816.1065019742036</v>
      </c>
      <c r="O3" s="102">
        <f t="shared" si="3"/>
        <v>2276.3611971952591</v>
      </c>
      <c r="P3" s="102">
        <f t="shared" si="4"/>
        <v>7753.2105759820761</v>
      </c>
      <c r="Q3" s="102">
        <f t="shared" ref="Q3:Q34" si="8">Q2+P3</f>
        <v>15354.397415180192</v>
      </c>
      <c r="W3" s="25">
        <f>W2+1</f>
        <v>21</v>
      </c>
    </row>
    <row r="4" spans="1:23" x14ac:dyDescent="0.3">
      <c r="A4" s="191">
        <v>22</v>
      </c>
      <c r="B4" s="193">
        <f t="shared" si="5"/>
        <v>66</v>
      </c>
      <c r="C4" s="116">
        <f>Blad1!F86</f>
        <v>16646.400000000001</v>
      </c>
      <c r="D4" s="215">
        <f t="shared" si="0"/>
        <v>175.574408256</v>
      </c>
      <c r="F4" s="122">
        <f t="shared" si="1"/>
        <v>2096.3634421549923</v>
      </c>
      <c r="G4" s="122">
        <f t="shared" si="2"/>
        <v>6952.428632013688</v>
      </c>
      <c r="H4" s="102">
        <f t="shared" si="6"/>
        <v>20450.992488864562</v>
      </c>
      <c r="N4" s="257">
        <f t="shared" si="7"/>
        <v>6952.428632013688</v>
      </c>
      <c r="O4" s="102">
        <f t="shared" si="3"/>
        <v>2384.5794085099214</v>
      </c>
      <c r="P4" s="102">
        <f t="shared" si="4"/>
        <v>7908.2747875017185</v>
      </c>
      <c r="Q4" s="102">
        <f t="shared" si="8"/>
        <v>23262.672202681912</v>
      </c>
      <c r="W4" s="25">
        <f t="shared" ref="W4:W54" si="9">W3+1</f>
        <v>22</v>
      </c>
    </row>
    <row r="5" spans="1:23" x14ac:dyDescent="0.3">
      <c r="A5" s="191">
        <v>23</v>
      </c>
      <c r="B5" s="193">
        <f t="shared" si="5"/>
        <v>65</v>
      </c>
      <c r="C5" s="116">
        <f>Blad1!F87</f>
        <v>16979.328000000001</v>
      </c>
      <c r="D5" s="215">
        <f t="shared" si="0"/>
        <v>183.9212156244902</v>
      </c>
      <c r="F5" s="122">
        <f t="shared" si="1"/>
        <v>2196.024560195041</v>
      </c>
      <c r="G5" s="122">
        <f t="shared" si="2"/>
        <v>7091.4772046539647</v>
      </c>
      <c r="H5" s="102">
        <f t="shared" si="6"/>
        <v>27542.469693518527</v>
      </c>
      <c r="N5" s="257">
        <f t="shared" si="7"/>
        <v>7091.4772046539647</v>
      </c>
      <c r="O5" s="102">
        <f t="shared" si="3"/>
        <v>2497.9423135904835</v>
      </c>
      <c r="P5" s="102">
        <f t="shared" si="4"/>
        <v>8066.4402832517562</v>
      </c>
      <c r="Q5" s="102">
        <f t="shared" si="8"/>
        <v>31329.112485933667</v>
      </c>
      <c r="W5" s="25">
        <f t="shared" si="9"/>
        <v>23</v>
      </c>
    </row>
    <row r="6" spans="1:23" x14ac:dyDescent="0.3">
      <c r="A6" s="191">
        <v>24</v>
      </c>
      <c r="B6" s="193">
        <f t="shared" si="5"/>
        <v>64</v>
      </c>
      <c r="C6" s="116">
        <f>Blad1!F88</f>
        <v>17318.914560000001</v>
      </c>
      <c r="D6" s="215">
        <f t="shared" si="0"/>
        <v>192.66483021527844</v>
      </c>
      <c r="F6" s="122">
        <f t="shared" si="1"/>
        <v>2300.4235677867127</v>
      </c>
      <c r="G6" s="122">
        <f t="shared" si="2"/>
        <v>7233.3067487470425</v>
      </c>
      <c r="H6" s="102">
        <f t="shared" si="6"/>
        <v>34775.776442265567</v>
      </c>
      <c r="N6" s="257">
        <f t="shared" si="7"/>
        <v>7233.3067487470425</v>
      </c>
      <c r="O6" s="102">
        <f t="shared" si="3"/>
        <v>2616.6944911785745</v>
      </c>
      <c r="P6" s="102">
        <f t="shared" si="4"/>
        <v>8227.7690889167898</v>
      </c>
      <c r="Q6" s="102">
        <f t="shared" si="8"/>
        <v>39556.881574850457</v>
      </c>
      <c r="W6" s="25">
        <f t="shared" si="9"/>
        <v>24</v>
      </c>
    </row>
    <row r="7" spans="1:23" x14ac:dyDescent="0.3">
      <c r="A7" s="191">
        <v>25</v>
      </c>
      <c r="B7" s="193">
        <f t="shared" si="5"/>
        <v>63</v>
      </c>
      <c r="C7" s="123">
        <f>Blad1!F89</f>
        <v>17665.2928512</v>
      </c>
      <c r="D7" s="215">
        <f t="shared" si="0"/>
        <v>201.82411624371275</v>
      </c>
      <c r="E7" s="124"/>
      <c r="F7" s="122">
        <f t="shared" si="1"/>
        <v>2409.7857041992925</v>
      </c>
      <c r="G7" s="122">
        <f t="shared" si="2"/>
        <v>7377.9728837219818</v>
      </c>
      <c r="H7" s="102">
        <f t="shared" si="6"/>
        <v>42153.749325987548</v>
      </c>
      <c r="N7" s="257">
        <f t="shared" si="7"/>
        <v>7377.9728837219818</v>
      </c>
      <c r="O7" s="102">
        <f t="shared" si="3"/>
        <v>2741.0921472892032</v>
      </c>
      <c r="P7" s="102">
        <f t="shared" si="4"/>
        <v>8392.3244706951227</v>
      </c>
      <c r="Q7" s="102">
        <f t="shared" si="8"/>
        <v>47949.206045545579</v>
      </c>
      <c r="W7" s="25">
        <f t="shared" si="9"/>
        <v>25</v>
      </c>
    </row>
    <row r="8" spans="1:23" x14ac:dyDescent="0.3">
      <c r="A8" s="191">
        <v>26</v>
      </c>
      <c r="B8" s="193">
        <f t="shared" si="5"/>
        <v>62</v>
      </c>
      <c r="C8" s="116">
        <f>Blad1!F90</f>
        <v>18018.598708223999</v>
      </c>
      <c r="D8" s="215">
        <f t="shared" si="0"/>
        <v>211.41883472993882</v>
      </c>
      <c r="F8" s="122">
        <f t="shared" si="1"/>
        <v>2524.3469165769266</v>
      </c>
      <c r="G8" s="122">
        <f t="shared" si="2"/>
        <v>7525.5323413964206</v>
      </c>
      <c r="H8" s="102">
        <f t="shared" si="6"/>
        <v>49679.28166738397</v>
      </c>
      <c r="N8" s="257">
        <f t="shared" si="7"/>
        <v>7525.5323413964206</v>
      </c>
      <c r="O8" s="102">
        <f t="shared" si="3"/>
        <v>2871.4036679713317</v>
      </c>
      <c r="P8" s="102">
        <f t="shared" si="4"/>
        <v>8560.1709601090242</v>
      </c>
      <c r="Q8" s="102">
        <f t="shared" si="8"/>
        <v>56509.377005654605</v>
      </c>
      <c r="W8" s="25">
        <f t="shared" si="9"/>
        <v>26</v>
      </c>
    </row>
    <row r="9" spans="1:23" x14ac:dyDescent="0.3">
      <c r="A9" s="191">
        <v>27</v>
      </c>
      <c r="B9" s="193">
        <f t="shared" si="5"/>
        <v>61</v>
      </c>
      <c r="C9" s="116">
        <f>Blad1!F91</f>
        <v>18378.970682388481</v>
      </c>
      <c r="D9" s="215">
        <f t="shared" si="0"/>
        <v>221.4696861330001</v>
      </c>
      <c r="F9" s="122">
        <f t="shared" si="1"/>
        <v>2644.3543689909939</v>
      </c>
      <c r="G9" s="122">
        <f t="shared" si="2"/>
        <v>7676.0429882243516</v>
      </c>
      <c r="H9" s="102">
        <f t="shared" si="6"/>
        <v>57355.324655608318</v>
      </c>
      <c r="N9" s="257">
        <f t="shared" si="7"/>
        <v>7676.0429882243516</v>
      </c>
      <c r="O9" s="102">
        <f t="shared" si="3"/>
        <v>3007.910198346689</v>
      </c>
      <c r="P9" s="102">
        <f t="shared" si="4"/>
        <v>8731.374379311208</v>
      </c>
      <c r="Q9" s="102">
        <f t="shared" si="8"/>
        <v>65240.751384965813</v>
      </c>
      <c r="W9" s="25">
        <f t="shared" si="9"/>
        <v>27</v>
      </c>
    </row>
    <row r="10" spans="1:23" x14ac:dyDescent="0.3">
      <c r="A10" s="191">
        <v>28</v>
      </c>
      <c r="B10" s="193">
        <f t="shared" si="5"/>
        <v>60</v>
      </c>
      <c r="C10" s="116">
        <f>Blad1!F92</f>
        <v>18746.550096036251</v>
      </c>
      <c r="D10" s="215">
        <f t="shared" si="0"/>
        <v>231.99835501176295</v>
      </c>
      <c r="F10" s="122">
        <f t="shared" si="1"/>
        <v>2770.0669756928255</v>
      </c>
      <c r="G10" s="122">
        <f t="shared" si="2"/>
        <v>7829.5638479888394</v>
      </c>
      <c r="H10" s="102">
        <f t="shared" si="6"/>
        <v>65184.888503597154</v>
      </c>
      <c r="N10" s="257">
        <f t="shared" si="7"/>
        <v>7829.5638479888394</v>
      </c>
      <c r="O10" s="102">
        <f t="shared" si="3"/>
        <v>3150.9062491760906</v>
      </c>
      <c r="P10" s="102">
        <f t="shared" si="4"/>
        <v>8906.0018668974335</v>
      </c>
      <c r="Q10" s="102">
        <f t="shared" si="8"/>
        <v>74146.753251863251</v>
      </c>
      <c r="W10" s="25">
        <f t="shared" si="9"/>
        <v>28</v>
      </c>
    </row>
    <row r="11" spans="1:23" x14ac:dyDescent="0.3">
      <c r="A11" s="191">
        <v>29</v>
      </c>
      <c r="B11" s="193">
        <f t="shared" si="5"/>
        <v>59</v>
      </c>
      <c r="C11" s="116">
        <f>Blad1!F93</f>
        <v>19121.481097956974</v>
      </c>
      <c r="D11" s="215">
        <f t="shared" si="0"/>
        <v>243.02755680902206</v>
      </c>
      <c r="F11" s="122">
        <f t="shared" si="1"/>
        <v>2901.7559597172612</v>
      </c>
      <c r="G11" s="122">
        <f t="shared" si="2"/>
        <v>7986.1551249486129</v>
      </c>
      <c r="H11" s="102">
        <f t="shared" si="6"/>
        <v>73171.043628545769</v>
      </c>
      <c r="N11" s="257">
        <f t="shared" si="7"/>
        <v>7986.1551249486129</v>
      </c>
      <c r="O11" s="102">
        <f t="shared" si="3"/>
        <v>3300.7003322619203</v>
      </c>
      <c r="P11" s="102">
        <f t="shared" si="4"/>
        <v>9084.1219042353787</v>
      </c>
      <c r="Q11" s="102">
        <f t="shared" si="8"/>
        <v>83230.875156098627</v>
      </c>
      <c r="W11" s="25">
        <f t="shared" si="9"/>
        <v>29</v>
      </c>
    </row>
    <row r="12" spans="1:23" x14ac:dyDescent="0.3">
      <c r="A12" s="191">
        <v>30</v>
      </c>
      <c r="B12" s="193">
        <f t="shared" si="5"/>
        <v>58</v>
      </c>
      <c r="C12" s="120">
        <f>Blad1!F94</f>
        <v>19503.910719916112</v>
      </c>
      <c r="D12" s="215">
        <f t="shared" si="0"/>
        <v>254.58108685972297</v>
      </c>
      <c r="E12" s="121"/>
      <c r="F12" s="122">
        <f t="shared" si="1"/>
        <v>3039.7054380422196</v>
      </c>
      <c r="G12" s="122">
        <f t="shared" si="2"/>
        <v>8145.8782274475852</v>
      </c>
      <c r="H12" s="122">
        <f t="shared" si="6"/>
        <v>81316.921855993351</v>
      </c>
      <c r="I12" s="126">
        <f>F12</f>
        <v>3039.7054380422196</v>
      </c>
      <c r="J12" s="126">
        <f>G12</f>
        <v>8145.8782274475852</v>
      </c>
      <c r="K12" s="126">
        <f>H12</f>
        <v>81316.921855993351</v>
      </c>
      <c r="M12" s="116">
        <f>Blad1!R94</f>
        <v>980.00746858000025</v>
      </c>
      <c r="N12" s="257">
        <f t="shared" si="7"/>
        <v>8145.8782274475852</v>
      </c>
      <c r="O12" s="122">
        <f t="shared" si="3"/>
        <v>3457.6156260576518</v>
      </c>
      <c r="P12" s="122">
        <f t="shared" si="4"/>
        <v>9265.8043423200852</v>
      </c>
      <c r="Q12" s="122">
        <f t="shared" si="8"/>
        <v>92496.679498418715</v>
      </c>
      <c r="S12" s="146">
        <f>IF($J$65="J",O12,F12)</f>
        <v>3039.7054380422196</v>
      </c>
      <c r="T12" s="146">
        <f>IF($J$65="J",P12,G12)</f>
        <v>8145.8782274475852</v>
      </c>
      <c r="U12" s="146">
        <f>IF($J$65="J",Q12,H12)</f>
        <v>81316.921855993351</v>
      </c>
      <c r="W12" s="25">
        <f t="shared" si="9"/>
        <v>30</v>
      </c>
    </row>
    <row r="13" spans="1:23" x14ac:dyDescent="0.3">
      <c r="A13" s="191">
        <v>31</v>
      </c>
      <c r="B13" s="193">
        <f t="shared" si="5"/>
        <v>57</v>
      </c>
      <c r="C13" s="116">
        <f>Blad1!F95</f>
        <v>19893.988934314435</v>
      </c>
      <c r="D13" s="215">
        <f t="shared" si="0"/>
        <v>266.68387172903419</v>
      </c>
      <c r="F13" s="122">
        <f t="shared" si="1"/>
        <v>3184.213034566747</v>
      </c>
      <c r="G13" s="122">
        <f t="shared" si="2"/>
        <v>8308.7957919965393</v>
      </c>
      <c r="H13" s="102">
        <f t="shared" si="6"/>
        <v>89625.717647989892</v>
      </c>
      <c r="N13" s="257">
        <f t="shared" si="7"/>
        <v>8308.7957919965393</v>
      </c>
      <c r="O13" s="102">
        <f t="shared" si="3"/>
        <v>3621.9906729204326</v>
      </c>
      <c r="P13" s="102">
        <f t="shared" si="4"/>
        <v>9451.1204291664908</v>
      </c>
      <c r="Q13" s="102">
        <f t="shared" si="8"/>
        <v>101947.79992758521</v>
      </c>
      <c r="W13" s="25">
        <f t="shared" si="9"/>
        <v>31</v>
      </c>
    </row>
    <row r="14" spans="1:23" x14ac:dyDescent="0.3">
      <c r="A14" s="191">
        <v>32</v>
      </c>
      <c r="B14" s="193">
        <f t="shared" si="5"/>
        <v>56</v>
      </c>
      <c r="C14" s="116">
        <f>Blad1!F96</f>
        <v>20291.86871300072</v>
      </c>
      <c r="D14" s="215">
        <f t="shared" si="0"/>
        <v>279.3620229910324</v>
      </c>
      <c r="F14" s="122">
        <f t="shared" si="1"/>
        <v>3335.5905222300494</v>
      </c>
      <c r="G14" s="122">
        <f t="shared" si="2"/>
        <v>8474.9717078364683</v>
      </c>
      <c r="H14" s="102">
        <f t="shared" si="6"/>
        <v>98100.689355826355</v>
      </c>
      <c r="N14" s="257">
        <f t="shared" si="7"/>
        <v>8474.9717078364683</v>
      </c>
      <c r="O14" s="102">
        <f t="shared" si="3"/>
        <v>3794.1801095110695</v>
      </c>
      <c r="P14" s="102">
        <f t="shared" si="4"/>
        <v>9640.1428377498178</v>
      </c>
      <c r="Q14" s="102">
        <f t="shared" si="8"/>
        <v>111587.94276533503</v>
      </c>
      <c r="W14" s="25">
        <f t="shared" si="9"/>
        <v>32</v>
      </c>
    </row>
    <row r="15" spans="1:23" x14ac:dyDescent="0.3">
      <c r="A15" s="191">
        <v>33</v>
      </c>
      <c r="B15" s="193">
        <f t="shared" si="5"/>
        <v>55</v>
      </c>
      <c r="C15" s="116">
        <f>Blad1!F97</f>
        <v>20697.706087260733</v>
      </c>
      <c r="D15" s="215">
        <f t="shared" si="0"/>
        <v>292.642893564026</v>
      </c>
      <c r="F15" s="122">
        <f t="shared" si="1"/>
        <v>3494.1644956568648</v>
      </c>
      <c r="G15" s="122">
        <f t="shared" si="2"/>
        <v>8644.4711419931955</v>
      </c>
      <c r="H15" s="102">
        <f t="shared" si="6"/>
        <v>106745.16049781955</v>
      </c>
      <c r="N15" s="257">
        <f t="shared" si="7"/>
        <v>8644.4711419931955</v>
      </c>
      <c r="O15" s="102">
        <f t="shared" si="3"/>
        <v>3974.5554319172243</v>
      </c>
      <c r="P15" s="102">
        <f t="shared" si="4"/>
        <v>9832.9456945048114</v>
      </c>
      <c r="Q15" s="102">
        <f t="shared" si="8"/>
        <v>121420.88845983984</v>
      </c>
      <c r="W15" s="25">
        <f t="shared" si="9"/>
        <v>33</v>
      </c>
    </row>
    <row r="16" spans="1:23" x14ac:dyDescent="0.3">
      <c r="A16" s="191">
        <v>34</v>
      </c>
      <c r="B16" s="193">
        <f t="shared" si="5"/>
        <v>54</v>
      </c>
      <c r="C16" s="116">
        <f>Blad1!F98</f>
        <v>21111.660209005946</v>
      </c>
      <c r="D16" s="215">
        <f t="shared" si="0"/>
        <v>306.55513672405976</v>
      </c>
      <c r="F16" s="122">
        <f t="shared" si="1"/>
        <v>3660.2770757803919</v>
      </c>
      <c r="G16" s="122">
        <f t="shared" si="2"/>
        <v>8817.3605648330595</v>
      </c>
      <c r="H16" s="102">
        <f t="shared" si="6"/>
        <v>115562.52106265261</v>
      </c>
      <c r="N16" s="257">
        <f t="shared" si="7"/>
        <v>8817.3605648330595</v>
      </c>
      <c r="O16" s="102">
        <f t="shared" si="3"/>
        <v>4163.5057971505694</v>
      </c>
      <c r="P16" s="102">
        <f t="shared" si="4"/>
        <v>10029.604608394908</v>
      </c>
      <c r="Q16" s="102">
        <f t="shared" si="8"/>
        <v>131450.49306823476</v>
      </c>
      <c r="W16" s="25">
        <f t="shared" si="9"/>
        <v>34</v>
      </c>
    </row>
    <row r="17" spans="1:23" x14ac:dyDescent="0.3">
      <c r="A17" s="191">
        <v>35</v>
      </c>
      <c r="B17" s="193">
        <f t="shared" si="5"/>
        <v>53</v>
      </c>
      <c r="C17" s="116">
        <f>Blad1!F99</f>
        <v>21533.893413186062</v>
      </c>
      <c r="D17" s="215">
        <f t="shared" si="0"/>
        <v>321.12876792392149</v>
      </c>
      <c r="F17" s="122">
        <f t="shared" si="1"/>
        <v>3834.2866479629906</v>
      </c>
      <c r="G17" s="122">
        <f t="shared" si="2"/>
        <v>8993.7077761297187</v>
      </c>
      <c r="H17" s="102">
        <f t="shared" si="6"/>
        <v>124556.22883878232</v>
      </c>
      <c r="N17" s="257">
        <f t="shared" si="7"/>
        <v>8993.7077761297187</v>
      </c>
      <c r="O17" s="102">
        <f t="shared" si="3"/>
        <v>4361.4388627471053</v>
      </c>
      <c r="P17" s="102">
        <f t="shared" si="4"/>
        <v>10230.196700562805</v>
      </c>
      <c r="Q17" s="102">
        <f t="shared" si="8"/>
        <v>141680.68976879757</v>
      </c>
      <c r="W17" s="25">
        <f t="shared" si="9"/>
        <v>35</v>
      </c>
    </row>
    <row r="18" spans="1:23" x14ac:dyDescent="0.3">
      <c r="A18" s="191">
        <v>36</v>
      </c>
      <c r="B18" s="193">
        <f t="shared" si="5"/>
        <v>52</v>
      </c>
      <c r="C18" s="116">
        <f>Blad1!F100</f>
        <v>21964.571281449786</v>
      </c>
      <c r="D18" s="215">
        <f t="shared" si="0"/>
        <v>336.39522955102467</v>
      </c>
      <c r="F18" s="122">
        <f t="shared" si="1"/>
        <v>4016.5686352071511</v>
      </c>
      <c r="G18" s="122">
        <f t="shared" si="2"/>
        <v>9173.5819316523157</v>
      </c>
      <c r="H18" s="102">
        <f t="shared" si="6"/>
        <v>133729.81077043465</v>
      </c>
      <c r="N18" s="257">
        <f t="shared" si="7"/>
        <v>9173.5819316523157</v>
      </c>
      <c r="O18" s="102">
        <f t="shared" si="3"/>
        <v>4568.7816662821033</v>
      </c>
      <c r="P18" s="102">
        <f t="shared" si="4"/>
        <v>10434.800634574063</v>
      </c>
      <c r="Q18" s="102">
        <f t="shared" si="8"/>
        <v>152115.49040337163</v>
      </c>
      <c r="W18" s="25">
        <f t="shared" si="9"/>
        <v>36</v>
      </c>
    </row>
    <row r="19" spans="1:23" x14ac:dyDescent="0.3">
      <c r="A19" s="191">
        <v>37</v>
      </c>
      <c r="B19" s="193">
        <f t="shared" si="5"/>
        <v>51</v>
      </c>
      <c r="C19" s="116">
        <f>Blad1!F101</f>
        <v>22403.862707078784</v>
      </c>
      <c r="D19" s="215">
        <f t="shared" si="0"/>
        <v>352.38745876388043</v>
      </c>
      <c r="F19" s="122">
        <f t="shared" si="1"/>
        <v>4207.5163081248993</v>
      </c>
      <c r="G19" s="122">
        <f t="shared" si="2"/>
        <v>9357.0535702853613</v>
      </c>
      <c r="H19" s="102">
        <f t="shared" si="6"/>
        <v>143086.86434072</v>
      </c>
      <c r="N19" s="257">
        <f t="shared" si="7"/>
        <v>9357.0535702853613</v>
      </c>
      <c r="O19" s="102">
        <f t="shared" si="3"/>
        <v>4785.981546697154</v>
      </c>
      <c r="P19" s="102">
        <f t="shared" si="4"/>
        <v>10643.496647265543</v>
      </c>
      <c r="Q19" s="102">
        <f t="shared" si="8"/>
        <v>162758.98705063717</v>
      </c>
      <c r="W19" s="25">
        <f t="shared" si="9"/>
        <v>37</v>
      </c>
    </row>
    <row r="20" spans="1:23" x14ac:dyDescent="0.3">
      <c r="A20" s="191">
        <v>38</v>
      </c>
      <c r="B20" s="193">
        <f t="shared" si="5"/>
        <v>50</v>
      </c>
      <c r="C20" s="116">
        <f>Blad1!F102</f>
        <v>22851.939961220363</v>
      </c>
      <c r="D20" s="215">
        <f t="shared" si="0"/>
        <v>369.13995855351533</v>
      </c>
      <c r="F20" s="122">
        <f t="shared" si="1"/>
        <v>4407.5416334131569</v>
      </c>
      <c r="G20" s="122">
        <f t="shared" si="2"/>
        <v>9544.1946416910687</v>
      </c>
      <c r="H20" s="102">
        <f t="shared" si="6"/>
        <v>152631.05898241108</v>
      </c>
      <c r="N20" s="257">
        <f t="shared" si="7"/>
        <v>9544.1946416910687</v>
      </c>
      <c r="O20" s="102">
        <f t="shared" si="3"/>
        <v>5013.507109427137</v>
      </c>
      <c r="P20" s="102">
        <f t="shared" si="4"/>
        <v>10856.366580210855</v>
      </c>
      <c r="Q20" s="102">
        <f t="shared" si="8"/>
        <v>173615.35363084803</v>
      </c>
      <c r="W20" s="25">
        <f t="shared" si="9"/>
        <v>38</v>
      </c>
    </row>
    <row r="21" spans="1:23" x14ac:dyDescent="0.3">
      <c r="A21" s="191">
        <v>39</v>
      </c>
      <c r="B21" s="193">
        <f t="shared" si="5"/>
        <v>49</v>
      </c>
      <c r="C21" s="116">
        <f>Blad1!F103</f>
        <v>23308.97876044477</v>
      </c>
      <c r="D21" s="215">
        <f t="shared" si="0"/>
        <v>386.68887218314944</v>
      </c>
      <c r="F21" s="122">
        <f t="shared" si="1"/>
        <v>4617.0761626656185</v>
      </c>
      <c r="G21" s="122">
        <f t="shared" si="2"/>
        <v>9735.0785345248933</v>
      </c>
      <c r="H21" s="102">
        <f t="shared" si="6"/>
        <v>162366.13751693597</v>
      </c>
      <c r="N21" s="257">
        <f t="shared" si="7"/>
        <v>9735.0785345248933</v>
      </c>
      <c r="O21" s="102">
        <f t="shared" si="3"/>
        <v>5251.849237409303</v>
      </c>
      <c r="P21" s="102">
        <f t="shared" si="4"/>
        <v>11073.493911815076</v>
      </c>
      <c r="Q21" s="102">
        <f t="shared" si="8"/>
        <v>184688.8475426631</v>
      </c>
      <c r="W21" s="25">
        <f t="shared" si="9"/>
        <v>39</v>
      </c>
    </row>
    <row r="22" spans="1:23" x14ac:dyDescent="0.3">
      <c r="A22" s="191">
        <v>40</v>
      </c>
      <c r="B22" s="193">
        <f t="shared" si="5"/>
        <v>48</v>
      </c>
      <c r="C22" s="120">
        <f>Blad1!F104</f>
        <v>23775.158335653668</v>
      </c>
      <c r="D22" s="215">
        <f t="shared" si="0"/>
        <v>405.07206116673632</v>
      </c>
      <c r="E22" s="121"/>
      <c r="F22" s="122">
        <f t="shared" si="1"/>
        <v>4836.5719634387424</v>
      </c>
      <c r="G22" s="122">
        <f t="shared" si="2"/>
        <v>9929.7801052153918</v>
      </c>
      <c r="H22" s="122">
        <f t="shared" si="6"/>
        <v>172295.91762215135</v>
      </c>
      <c r="I22" s="126">
        <f>F22</f>
        <v>4836.5719634387424</v>
      </c>
      <c r="J22" s="126">
        <f>G22</f>
        <v>9929.7801052153918</v>
      </c>
      <c r="K22" s="126">
        <f>H22</f>
        <v>172295.91762215135</v>
      </c>
      <c r="M22" s="116">
        <f>Blad1!R104</f>
        <v>915.22245517205738</v>
      </c>
      <c r="N22" s="257">
        <f t="shared" si="7"/>
        <v>9929.7801052153918</v>
      </c>
      <c r="O22" s="122">
        <f t="shared" si="3"/>
        <v>5501.5221501557417</v>
      </c>
      <c r="P22" s="122">
        <f t="shared" si="4"/>
        <v>11294.963790051377</v>
      </c>
      <c r="Q22" s="122">
        <f t="shared" si="8"/>
        <v>195983.81133271448</v>
      </c>
      <c r="S22" s="146">
        <f>IF($J$65="J",O22,F22)</f>
        <v>4836.5719634387424</v>
      </c>
      <c r="T22" s="146">
        <f>IF($J$65="J",P22,G22)</f>
        <v>9929.7801052153918</v>
      </c>
      <c r="U22" s="146">
        <f>IF($J$65="J",Q22,H22)</f>
        <v>172295.91762215135</v>
      </c>
      <c r="W22" s="25">
        <f t="shared" si="9"/>
        <v>40</v>
      </c>
    </row>
    <row r="23" spans="1:23" x14ac:dyDescent="0.3">
      <c r="A23" s="191">
        <v>41</v>
      </c>
      <c r="B23" s="193">
        <f t="shared" si="5"/>
        <v>47</v>
      </c>
      <c r="C23" s="116">
        <f>Blad1!F105</f>
        <v>24250.66150236674</v>
      </c>
      <c r="D23" s="215">
        <f t="shared" si="0"/>
        <v>424.3291869546029</v>
      </c>
      <c r="F23" s="122">
        <f t="shared" si="1"/>
        <v>5066.5025945806183</v>
      </c>
      <c r="G23" s="122">
        <f t="shared" si="2"/>
        <v>10128.375707319696</v>
      </c>
      <c r="H23" s="102">
        <f t="shared" si="6"/>
        <v>182424.29332947105</v>
      </c>
      <c r="N23" s="257">
        <f t="shared" si="7"/>
        <v>10128.375707319696</v>
      </c>
      <c r="O23" s="102">
        <f t="shared" si="3"/>
        <v>5763.0645131741439</v>
      </c>
      <c r="P23" s="102">
        <f t="shared" si="4"/>
        <v>11520.863065852402</v>
      </c>
      <c r="Q23" s="102">
        <f t="shared" si="8"/>
        <v>207504.67439856689</v>
      </c>
      <c r="W23" s="25">
        <f t="shared" si="9"/>
        <v>41</v>
      </c>
    </row>
    <row r="24" spans="1:23" x14ac:dyDescent="0.3">
      <c r="A24" s="191">
        <v>42</v>
      </c>
      <c r="B24" s="193">
        <f t="shared" si="5"/>
        <v>46</v>
      </c>
      <c r="C24" s="116">
        <f>Blad1!F106</f>
        <v>24735.674732414078</v>
      </c>
      <c r="D24" s="215">
        <f t="shared" si="0"/>
        <v>444.50179650242467</v>
      </c>
      <c r="F24" s="122">
        <f t="shared" si="1"/>
        <v>5307.3641279269814</v>
      </c>
      <c r="G24" s="122">
        <f t="shared" si="2"/>
        <v>10330.943221466092</v>
      </c>
      <c r="H24" s="102">
        <f t="shared" si="6"/>
        <v>192755.23655093714</v>
      </c>
      <c r="N24" s="257">
        <f t="shared" si="7"/>
        <v>10330.943221466092</v>
      </c>
      <c r="O24" s="102">
        <f t="shared" si="3"/>
        <v>6037.0406001304427</v>
      </c>
      <c r="P24" s="102">
        <f t="shared" si="4"/>
        <v>11751.280327169452</v>
      </c>
      <c r="Q24" s="102">
        <f t="shared" si="8"/>
        <v>219255.95472573634</v>
      </c>
      <c r="W24" s="25">
        <f t="shared" si="9"/>
        <v>42</v>
      </c>
    </row>
    <row r="25" spans="1:23" x14ac:dyDescent="0.3">
      <c r="A25" s="191">
        <v>43</v>
      </c>
      <c r="B25" s="193">
        <f t="shared" si="5"/>
        <v>45</v>
      </c>
      <c r="C25" s="116">
        <f>Blad1!F107</f>
        <v>25230.388227062362</v>
      </c>
      <c r="D25" s="215">
        <f t="shared" si="0"/>
        <v>465.63341190815004</v>
      </c>
      <c r="F25" s="122">
        <f t="shared" si="1"/>
        <v>5559.6762185686293</v>
      </c>
      <c r="G25" s="122">
        <f t="shared" si="2"/>
        <v>10537.562085895413</v>
      </c>
      <c r="H25" s="102">
        <f t="shared" si="6"/>
        <v>203292.79863683257</v>
      </c>
      <c r="N25" s="257">
        <f t="shared" si="7"/>
        <v>10537.562085895413</v>
      </c>
      <c r="O25" s="102">
        <f t="shared" si="3"/>
        <v>6324.0415102606439</v>
      </c>
      <c r="P25" s="102">
        <f t="shared" si="4"/>
        <v>11986.30593371284</v>
      </c>
      <c r="Q25" s="102">
        <f t="shared" si="8"/>
        <v>231242.26065944918</v>
      </c>
      <c r="W25" s="25">
        <f t="shared" si="9"/>
        <v>43</v>
      </c>
    </row>
    <row r="26" spans="1:23" x14ac:dyDescent="0.3">
      <c r="A26" s="191">
        <v>44</v>
      </c>
      <c r="B26" s="193">
        <f t="shared" si="5"/>
        <v>44</v>
      </c>
      <c r="C26" s="116">
        <f>Blad1!F108</f>
        <v>25734.995991603606</v>
      </c>
      <c r="D26" s="215">
        <f t="shared" si="0"/>
        <v>487.7696243102634</v>
      </c>
      <c r="F26" s="122">
        <f t="shared" si="1"/>
        <v>5823.9832259993818</v>
      </c>
      <c r="G26" s="122">
        <f t="shared" si="2"/>
        <v>10748.313327613321</v>
      </c>
      <c r="H26" s="102">
        <f t="shared" si="6"/>
        <v>214041.11196444588</v>
      </c>
      <c r="N26" s="257">
        <f t="shared" si="7"/>
        <v>10748.313327613321</v>
      </c>
      <c r="O26" s="102">
        <f t="shared" si="3"/>
        <v>6624.6864436584347</v>
      </c>
      <c r="P26" s="102">
        <f t="shared" si="4"/>
        <v>12226.032052387096</v>
      </c>
      <c r="Q26" s="102">
        <f t="shared" si="8"/>
        <v>243468.29271183629</v>
      </c>
      <c r="W26" s="25">
        <f t="shared" si="9"/>
        <v>44</v>
      </c>
    </row>
    <row r="27" spans="1:23" x14ac:dyDescent="0.3">
      <c r="A27" s="191">
        <v>45</v>
      </c>
      <c r="B27" s="193">
        <f t="shared" si="5"/>
        <v>43</v>
      </c>
      <c r="C27" s="116">
        <f>Blad1!F109</f>
        <v>26249.695911435676</v>
      </c>
      <c r="D27" s="215">
        <f t="shared" si="0"/>
        <v>510.95819224997314</v>
      </c>
      <c r="F27" s="122">
        <f t="shared" si="1"/>
        <v>6100.855388563391</v>
      </c>
      <c r="G27" s="122">
        <f t="shared" si="2"/>
        <v>10963.279594165588</v>
      </c>
      <c r="H27" s="102">
        <f t="shared" si="6"/>
        <v>225004.39155861147</v>
      </c>
      <c r="N27" s="257">
        <f t="shared" si="7"/>
        <v>10963.279594165588</v>
      </c>
      <c r="O27" s="102">
        <f t="shared" si="3"/>
        <v>6939.6240371899548</v>
      </c>
      <c r="P27" s="102">
        <f t="shared" si="4"/>
        <v>12470.552693434838</v>
      </c>
      <c r="Q27" s="102">
        <f t="shared" si="8"/>
        <v>255938.84540527113</v>
      </c>
      <c r="W27" s="25">
        <f t="shared" si="9"/>
        <v>45</v>
      </c>
    </row>
    <row r="28" spans="1:23" x14ac:dyDescent="0.3">
      <c r="A28" s="191">
        <v>46</v>
      </c>
      <c r="B28" s="193">
        <f t="shared" si="5"/>
        <v>42</v>
      </c>
      <c r="C28" s="116">
        <f>Blad1!F110</f>
        <v>26774.689829664389</v>
      </c>
      <c r="D28" s="215">
        <f t="shared" si="0"/>
        <v>535.24914470953684</v>
      </c>
      <c r="F28" s="122">
        <f t="shared" si="1"/>
        <v>6390.8900537356931</v>
      </c>
      <c r="G28" s="122">
        <f t="shared" si="2"/>
        <v>11182.545186048897</v>
      </c>
      <c r="H28" s="102">
        <f t="shared" si="6"/>
        <v>236186.93674466037</v>
      </c>
      <c r="N28" s="257">
        <f t="shared" si="7"/>
        <v>11182.545186048897</v>
      </c>
      <c r="O28" s="102">
        <f t="shared" si="3"/>
        <v>7269.5337639179634</v>
      </c>
      <c r="P28" s="102">
        <f t="shared" si="4"/>
        <v>12719.963747303533</v>
      </c>
      <c r="Q28" s="102">
        <f t="shared" si="8"/>
        <v>268658.80915257469</v>
      </c>
      <c r="W28" s="25">
        <f t="shared" si="9"/>
        <v>46</v>
      </c>
    </row>
    <row r="29" spans="1:23" x14ac:dyDescent="0.3">
      <c r="A29" s="191">
        <v>47</v>
      </c>
      <c r="B29" s="193">
        <f t="shared" si="5"/>
        <v>41</v>
      </c>
      <c r="C29" s="116">
        <f>Blad1!F111</f>
        <v>27310.18362625768</v>
      </c>
      <c r="D29" s="215">
        <f t="shared" si="0"/>
        <v>560.69488904902823</v>
      </c>
      <c r="F29" s="122">
        <f t="shared" si="1"/>
        <v>6694.712966890289</v>
      </c>
      <c r="G29" s="122">
        <f t="shared" si="2"/>
        <v>11406.196089769879</v>
      </c>
      <c r="H29" s="102">
        <f t="shared" si="6"/>
        <v>247593.13283443026</v>
      </c>
      <c r="N29" s="257">
        <f t="shared" si="7"/>
        <v>11406.196089769879</v>
      </c>
      <c r="O29" s="102">
        <f t="shared" si="3"/>
        <v>7615.1273990546242</v>
      </c>
      <c r="P29" s="102">
        <f t="shared" si="4"/>
        <v>12974.363022249609</v>
      </c>
      <c r="Q29" s="102">
        <f t="shared" si="8"/>
        <v>281633.17217482429</v>
      </c>
      <c r="W29" s="25">
        <f t="shared" si="9"/>
        <v>47</v>
      </c>
    </row>
    <row r="30" spans="1:23" x14ac:dyDescent="0.3">
      <c r="A30" s="191">
        <v>48</v>
      </c>
      <c r="B30" s="193">
        <f t="shared" si="5"/>
        <v>40</v>
      </c>
      <c r="C30" s="116">
        <f>Blad1!F112</f>
        <v>27856.387298782836</v>
      </c>
      <c r="D30" s="215">
        <f t="shared" si="0"/>
        <v>587.35032407441906</v>
      </c>
      <c r="F30" s="122">
        <f t="shared" si="1"/>
        <v>7012.9796213362542</v>
      </c>
      <c r="G30" s="122">
        <f t="shared" si="2"/>
        <v>11634.32001156528</v>
      </c>
      <c r="H30" s="102">
        <f t="shared" si="6"/>
        <v>259227.45284599555</v>
      </c>
      <c r="N30" s="257">
        <f t="shared" si="7"/>
        <v>11634.32001156528</v>
      </c>
      <c r="O30" s="102">
        <f t="shared" si="3"/>
        <v>7977.1505556056827</v>
      </c>
      <c r="P30" s="102">
        <f t="shared" si="4"/>
        <v>13233.850282694604</v>
      </c>
      <c r="Q30" s="102">
        <f t="shared" si="8"/>
        <v>294867.02245751891</v>
      </c>
      <c r="W30" s="25">
        <f t="shared" si="9"/>
        <v>48</v>
      </c>
    </row>
    <row r="31" spans="1:23" x14ac:dyDescent="0.3">
      <c r="A31" s="191">
        <v>49</v>
      </c>
      <c r="B31" s="193">
        <f t="shared" si="5"/>
        <v>39</v>
      </c>
      <c r="C31" s="116">
        <f>Blad1!F113</f>
        <v>28413.515044758497</v>
      </c>
      <c r="D31" s="215">
        <f t="shared" si="0"/>
        <v>615.27295848091705</v>
      </c>
      <c r="F31" s="122">
        <f t="shared" si="1"/>
        <v>7346.3766725345786</v>
      </c>
      <c r="G31" s="122">
        <f t="shared" si="2"/>
        <v>11867.006411796583</v>
      </c>
      <c r="H31" s="102">
        <f t="shared" si="6"/>
        <v>271094.45925779216</v>
      </c>
      <c r="N31" s="257">
        <f t="shared" si="7"/>
        <v>11867.006411796583</v>
      </c>
      <c r="O31" s="102">
        <f t="shared" si="3"/>
        <v>8356.3842930191749</v>
      </c>
      <c r="P31" s="102">
        <f t="shared" si="4"/>
        <v>13498.527288348492</v>
      </c>
      <c r="Q31" s="102">
        <f t="shared" si="8"/>
        <v>308365.54974586738</v>
      </c>
      <c r="W31" s="25">
        <f t="shared" si="9"/>
        <v>49</v>
      </c>
    </row>
    <row r="32" spans="1:23" x14ac:dyDescent="0.3">
      <c r="A32" s="191">
        <v>50</v>
      </c>
      <c r="B32" s="193">
        <f t="shared" si="5"/>
        <v>38</v>
      </c>
      <c r="C32" s="120">
        <f>Blad1!F114</f>
        <v>28981.785345653665</v>
      </c>
      <c r="D32" s="215">
        <f t="shared" si="0"/>
        <v>644.52303492709962</v>
      </c>
      <c r="E32" s="121"/>
      <c r="F32" s="122">
        <f t="shared" si="1"/>
        <v>7695.6234195468714</v>
      </c>
      <c r="G32" s="122">
        <f t="shared" si="2"/>
        <v>12104.346540032515</v>
      </c>
      <c r="H32" s="122">
        <f t="shared" si="6"/>
        <v>283198.80579782469</v>
      </c>
      <c r="I32" s="126">
        <f>F32</f>
        <v>7695.6234195468714</v>
      </c>
      <c r="J32" s="126">
        <f>G32</f>
        <v>12104.346540032515</v>
      </c>
      <c r="K32" s="126">
        <f>H32</f>
        <v>283198.80579782469</v>
      </c>
      <c r="M32" s="116">
        <f>Blad1!R114</f>
        <v>854.7201621482244</v>
      </c>
      <c r="N32" s="257">
        <f t="shared" si="7"/>
        <v>12104.346540032515</v>
      </c>
      <c r="O32" s="122">
        <f t="shared" si="3"/>
        <v>8753.6468023093057</v>
      </c>
      <c r="P32" s="122">
        <f t="shared" si="4"/>
        <v>13768.497834115464</v>
      </c>
      <c r="Q32" s="122">
        <f t="shared" si="8"/>
        <v>322134.04757998284</v>
      </c>
      <c r="S32" s="146">
        <f>IF($J$65="J",O32,F32)</f>
        <v>7695.6234195468714</v>
      </c>
      <c r="T32" s="146">
        <f>IF($J$65="J",P32,G32)</f>
        <v>12104.346540032515</v>
      </c>
      <c r="U32" s="146">
        <f>IF($J$65="J",Q32,H32)</f>
        <v>283198.80579782469</v>
      </c>
      <c r="W32" s="25">
        <f t="shared" si="9"/>
        <v>50</v>
      </c>
    </row>
    <row r="33" spans="1:23" x14ac:dyDescent="0.3">
      <c r="A33" s="191">
        <v>51</v>
      </c>
      <c r="B33" s="193">
        <f t="shared" si="5"/>
        <v>37</v>
      </c>
      <c r="C33" s="116">
        <f>Blad1!F115</f>
        <v>29561.42105256674</v>
      </c>
      <c r="D33" s="215">
        <f t="shared" si="0"/>
        <v>675.16366000753408</v>
      </c>
      <c r="F33" s="122">
        <f t="shared" si="1"/>
        <v>8061.4733569121299</v>
      </c>
      <c r="G33" s="122">
        <f t="shared" si="2"/>
        <v>12346.433470833166</v>
      </c>
      <c r="H33" s="102">
        <f t="shared" si="6"/>
        <v>295545.23926865787</v>
      </c>
      <c r="N33" s="257">
        <f t="shared" si="7"/>
        <v>12346.433470833166</v>
      </c>
      <c r="O33" s="102">
        <f t="shared" si="3"/>
        <v>9169.7951712910908</v>
      </c>
      <c r="P33" s="102">
        <f t="shared" si="4"/>
        <v>14043.867790797774</v>
      </c>
      <c r="Q33" s="102">
        <f t="shared" si="8"/>
        <v>336177.91537078063</v>
      </c>
      <c r="W33" s="25">
        <f t="shared" si="9"/>
        <v>51</v>
      </c>
    </row>
    <row r="34" spans="1:23" x14ac:dyDescent="0.3">
      <c r="A34" s="191">
        <v>52</v>
      </c>
      <c r="B34" s="193">
        <f t="shared" si="5"/>
        <v>36</v>
      </c>
      <c r="C34" s="116">
        <f>Blad1!F116</f>
        <v>30152.649473618079</v>
      </c>
      <c r="D34" s="215">
        <f t="shared" ref="D34:D53" si="10">C34*($B$57^($B$70-B34))/100</f>
        <v>707.26094040429223</v>
      </c>
      <c r="F34" s="122">
        <f t="shared" ref="F34:F53" si="11">($D$60*C34*($B$57^(($B$2-$A$2)-($B$2-A34)+$E$1))/100)</f>
        <v>8444.715800299733</v>
      </c>
      <c r="G34" s="122">
        <f t="shared" ref="G34:G53" si="12">F34*($B$57^(($B$2-$A$2)-($B$2-B35+$E$1)))</f>
        <v>12593.362140249832</v>
      </c>
      <c r="H34" s="102">
        <f t="shared" si="6"/>
        <v>308138.60140890768</v>
      </c>
      <c r="N34" s="257">
        <f t="shared" si="7"/>
        <v>12593.362140249832</v>
      </c>
      <c r="O34" s="102">
        <f t="shared" ref="O34:O53" si="13">F34*$G$65</f>
        <v>9605.7272337342692</v>
      </c>
      <c r="P34" s="102">
        <f t="shared" ref="P34:P53" si="14">G34*$G$65</f>
        <v>14324.745146613732</v>
      </c>
      <c r="Q34" s="102">
        <f t="shared" si="8"/>
        <v>350502.66051739437</v>
      </c>
      <c r="W34" s="25">
        <f t="shared" si="9"/>
        <v>52</v>
      </c>
    </row>
    <row r="35" spans="1:23" x14ac:dyDescent="0.3">
      <c r="A35" s="191">
        <v>53</v>
      </c>
      <c r="B35" s="193">
        <f t="shared" ref="B35:B54" si="15">B34-1</f>
        <v>35</v>
      </c>
      <c r="C35" s="116">
        <f>Blad1!F117</f>
        <v>30755.702463090442</v>
      </c>
      <c r="D35" s="215">
        <f t="shared" si="10"/>
        <v>740.88412551111219</v>
      </c>
      <c r="F35" s="122">
        <f t="shared" si="11"/>
        <v>8846.1775894459806</v>
      </c>
      <c r="G35" s="122">
        <f t="shared" si="12"/>
        <v>12845.229383054828</v>
      </c>
      <c r="H35" s="102">
        <f t="shared" ref="H35:H53" si="16">H34+G35</f>
        <v>320983.83079196251</v>
      </c>
      <c r="N35" s="257">
        <f t="shared" si="7"/>
        <v>12845.229383054828</v>
      </c>
      <c r="O35" s="102">
        <f t="shared" si="13"/>
        <v>10062.383506425995</v>
      </c>
      <c r="P35" s="102">
        <f t="shared" si="14"/>
        <v>14611.240049546006</v>
      </c>
      <c r="Q35" s="102">
        <f t="shared" ref="Q35:Q53" si="17">Q34+P35</f>
        <v>365113.90056694037</v>
      </c>
      <c r="W35" s="25">
        <f t="shared" si="9"/>
        <v>53</v>
      </c>
    </row>
    <row r="36" spans="1:23" x14ac:dyDescent="0.3">
      <c r="A36" s="191">
        <v>54</v>
      </c>
      <c r="B36" s="193">
        <f t="shared" si="15"/>
        <v>34</v>
      </c>
      <c r="C36" s="116">
        <f>Blad1!F118</f>
        <v>31370.816512352249</v>
      </c>
      <c r="D36" s="215">
        <f t="shared" si="10"/>
        <v>776.10575683791035</v>
      </c>
      <c r="F36" s="122">
        <f t="shared" si="11"/>
        <v>9266.7248720482421</v>
      </c>
      <c r="G36" s="122">
        <f t="shared" si="12"/>
        <v>13102.133970715924</v>
      </c>
      <c r="H36" s="102">
        <f t="shared" si="16"/>
        <v>334085.96476267843</v>
      </c>
      <c r="N36" s="257">
        <f t="shared" si="7"/>
        <v>13102.133970715924</v>
      </c>
      <c r="O36" s="102">
        <f t="shared" si="13"/>
        <v>10540.749218321485</v>
      </c>
      <c r="P36" s="102">
        <f t="shared" si="14"/>
        <v>14903.464850536926</v>
      </c>
      <c r="Q36" s="102">
        <f t="shared" si="17"/>
        <v>380017.36541747733</v>
      </c>
      <c r="W36" s="25">
        <f t="shared" si="9"/>
        <v>54</v>
      </c>
    </row>
    <row r="37" spans="1:23" x14ac:dyDescent="0.3">
      <c r="A37" s="191">
        <v>55</v>
      </c>
      <c r="B37" s="193">
        <f t="shared" si="15"/>
        <v>33</v>
      </c>
      <c r="C37" s="116">
        <f>Blad1!F119</f>
        <v>31998.232842599293</v>
      </c>
      <c r="D37" s="215">
        <f t="shared" si="10"/>
        <v>813.00182451798446</v>
      </c>
      <c r="F37" s="122">
        <f t="shared" si="11"/>
        <v>9707.2649724654148</v>
      </c>
      <c r="G37" s="122">
        <f t="shared" si="12"/>
        <v>13364.176650130245</v>
      </c>
      <c r="H37" s="102">
        <f t="shared" si="16"/>
        <v>347450.14141280868</v>
      </c>
      <c r="N37" s="257">
        <f t="shared" si="7"/>
        <v>13364.176650130245</v>
      </c>
      <c r="O37" s="102">
        <f t="shared" si="13"/>
        <v>11041.856436160488</v>
      </c>
      <c r="P37" s="102">
        <f t="shared" si="14"/>
        <v>15201.534147547665</v>
      </c>
      <c r="Q37" s="102">
        <f t="shared" si="17"/>
        <v>395218.899565025</v>
      </c>
      <c r="W37" s="25">
        <f t="shared" si="9"/>
        <v>55</v>
      </c>
    </row>
    <row r="38" spans="1:23" x14ac:dyDescent="0.3">
      <c r="A38" s="191">
        <v>56</v>
      </c>
      <c r="B38" s="193">
        <f t="shared" si="15"/>
        <v>32</v>
      </c>
      <c r="C38" s="116">
        <f>Blad1!F120</f>
        <v>32638.197499451278</v>
      </c>
      <c r="D38" s="215">
        <f t="shared" si="10"/>
        <v>851.65193125556948</v>
      </c>
      <c r="F38" s="122">
        <f t="shared" si="11"/>
        <v>10168.748349256421</v>
      </c>
      <c r="G38" s="122">
        <f t="shared" si="12"/>
        <v>13631.460183132851</v>
      </c>
      <c r="H38" s="102">
        <f t="shared" si="16"/>
        <v>361081.60159594152</v>
      </c>
      <c r="N38" s="257">
        <f t="shared" si="7"/>
        <v>13631.460183132851</v>
      </c>
      <c r="O38" s="102">
        <f t="shared" si="13"/>
        <v>11566.786291135559</v>
      </c>
      <c r="P38" s="102">
        <f t="shared" si="14"/>
        <v>15505.564830498621</v>
      </c>
      <c r="Q38" s="102">
        <f t="shared" si="17"/>
        <v>410724.4643955236</v>
      </c>
      <c r="W38" s="25">
        <f t="shared" si="9"/>
        <v>56</v>
      </c>
    </row>
    <row r="39" spans="1:23" x14ac:dyDescent="0.3">
      <c r="A39" s="191">
        <v>57</v>
      </c>
      <c r="B39" s="193">
        <f t="shared" si="15"/>
        <v>31</v>
      </c>
      <c r="C39" s="116">
        <f>Blad1!F121</f>
        <v>33290.961449440307</v>
      </c>
      <c r="D39" s="215">
        <f t="shared" si="10"/>
        <v>892.13946406745924</v>
      </c>
      <c r="F39" s="122">
        <f t="shared" si="11"/>
        <v>10652.17064578007</v>
      </c>
      <c r="G39" s="122">
        <f t="shared" si="12"/>
        <v>13904.089386795506</v>
      </c>
      <c r="H39" s="102">
        <f t="shared" si="16"/>
        <v>374985.69098273705</v>
      </c>
      <c r="N39" s="257">
        <f t="shared" si="7"/>
        <v>13904.089386795506</v>
      </c>
      <c r="O39" s="102">
        <f t="shared" si="13"/>
        <v>12116.671311416141</v>
      </c>
      <c r="P39" s="102">
        <f t="shared" si="14"/>
        <v>15815.676127108591</v>
      </c>
      <c r="Q39" s="102">
        <f t="shared" si="17"/>
        <v>426540.14052263217</v>
      </c>
      <c r="W39" s="25">
        <f t="shared" si="9"/>
        <v>57</v>
      </c>
    </row>
    <row r="40" spans="1:23" x14ac:dyDescent="0.3">
      <c r="A40" s="191">
        <v>58</v>
      </c>
      <c r="B40" s="193">
        <f t="shared" si="15"/>
        <v>30</v>
      </c>
      <c r="C40" s="116">
        <f>Blad1!F122</f>
        <v>33956.780678429117</v>
      </c>
      <c r="D40" s="215">
        <f t="shared" si="10"/>
        <v>934.55177418922631</v>
      </c>
      <c r="E40" s="196"/>
      <c r="F40" s="122">
        <f t="shared" si="11"/>
        <v>11158.574838280454</v>
      </c>
      <c r="G40" s="122">
        <f t="shared" si="12"/>
        <v>14182.171174531417</v>
      </c>
      <c r="H40" s="102">
        <f t="shared" si="16"/>
        <v>389167.86215726845</v>
      </c>
      <c r="N40" s="257">
        <f t="shared" si="7"/>
        <v>14182.171174531417</v>
      </c>
      <c r="O40" s="102">
        <f t="shared" si="13"/>
        <v>12692.697865560864</v>
      </c>
      <c r="P40" s="102">
        <f t="shared" si="14"/>
        <v>16131.989649650764</v>
      </c>
      <c r="Q40" s="102">
        <f t="shared" si="17"/>
        <v>442672.13017228292</v>
      </c>
      <c r="W40" s="25">
        <f t="shared" si="9"/>
        <v>58</v>
      </c>
    </row>
    <row r="41" spans="1:23" x14ac:dyDescent="0.3">
      <c r="A41" s="191">
        <v>59</v>
      </c>
      <c r="B41" s="193">
        <f t="shared" si="15"/>
        <v>29</v>
      </c>
      <c r="C41" s="116">
        <f>Blad1!F123</f>
        <v>34635.91629199771</v>
      </c>
      <c r="D41" s="215">
        <f t="shared" si="10"/>
        <v>978.9803655341824</v>
      </c>
      <c r="F41" s="122">
        <f t="shared" si="11"/>
        <v>11689.053486092309</v>
      </c>
      <c r="G41" s="122">
        <f t="shared" si="12"/>
        <v>14465.814598022051</v>
      </c>
      <c r="H41" s="102">
        <f t="shared" si="16"/>
        <v>403633.67675529048</v>
      </c>
      <c r="N41" s="257">
        <f t="shared" si="7"/>
        <v>14465.814598022051</v>
      </c>
      <c r="O41" s="102">
        <f t="shared" si="13"/>
        <v>13296.10872208963</v>
      </c>
      <c r="P41" s="102">
        <f t="shared" si="14"/>
        <v>16454.629442643785</v>
      </c>
      <c r="Q41" s="102">
        <f t="shared" si="17"/>
        <v>459126.7596149267</v>
      </c>
      <c r="W41" s="25">
        <f t="shared" si="9"/>
        <v>59</v>
      </c>
    </row>
    <row r="42" spans="1:23" x14ac:dyDescent="0.3">
      <c r="A42" s="191">
        <v>60</v>
      </c>
      <c r="B42" s="193">
        <f t="shared" si="15"/>
        <v>28</v>
      </c>
      <c r="C42" s="120">
        <f>Blad1!F124</f>
        <v>35328.634617837663</v>
      </c>
      <c r="D42" s="215">
        <f t="shared" si="10"/>
        <v>1025.521092111677</v>
      </c>
      <c r="E42" s="121"/>
      <c r="F42" s="122">
        <f t="shared" si="11"/>
        <v>12244.751088821136</v>
      </c>
      <c r="G42" s="122">
        <f t="shared" si="12"/>
        <v>14755.130889982491</v>
      </c>
      <c r="H42" s="122">
        <f t="shared" si="16"/>
        <v>418388.80764527299</v>
      </c>
      <c r="I42" s="126">
        <f t="shared" ref="I42:I53" si="18">F42</f>
        <v>12244.751088821136</v>
      </c>
      <c r="J42" s="126">
        <f t="shared" ref="J42:J53" si="19">G42</f>
        <v>14755.130889982491</v>
      </c>
      <c r="K42" s="126">
        <f t="shared" ref="K42:K53" si="20">H42</f>
        <v>418388.80764527299</v>
      </c>
      <c r="M42" s="116">
        <f>Blad1!R124</f>
        <v>798.21747319928681</v>
      </c>
      <c r="N42" s="257">
        <f t="shared" si="7"/>
        <v>14755.130889982491</v>
      </c>
      <c r="O42" s="122">
        <f t="shared" si="13"/>
        <v>13928.205730737771</v>
      </c>
      <c r="P42" s="122">
        <f t="shared" si="14"/>
        <v>16783.722031496662</v>
      </c>
      <c r="Q42" s="122">
        <f t="shared" si="17"/>
        <v>475910.48164642334</v>
      </c>
      <c r="S42" s="194">
        <f>IF($J$65="J",O42,F42)</f>
        <v>12244.751088821136</v>
      </c>
      <c r="T42" s="194">
        <f>IF($J$65="J",P42,G42)</f>
        <v>14755.130889982491</v>
      </c>
      <c r="U42" s="194">
        <f>IF($J$65="J",Q42,H42)</f>
        <v>418388.80764527299</v>
      </c>
      <c r="W42" s="25">
        <f t="shared" si="9"/>
        <v>60</v>
      </c>
    </row>
    <row r="43" spans="1:23" x14ac:dyDescent="0.3">
      <c r="A43" s="191">
        <v>61</v>
      </c>
      <c r="B43" s="193">
        <f t="shared" si="15"/>
        <v>27</v>
      </c>
      <c r="C43" s="198">
        <f>Blad1!F125</f>
        <v>36035.207310194419</v>
      </c>
      <c r="D43" s="216">
        <f t="shared" si="10"/>
        <v>1074.2743648306662</v>
      </c>
      <c r="E43" s="196"/>
      <c r="F43" s="199">
        <f t="shared" si="11"/>
        <v>12826.866555583691</v>
      </c>
      <c r="G43" s="199">
        <f t="shared" si="12"/>
        <v>15050.233507782139</v>
      </c>
      <c r="H43" s="199">
        <f t="shared" si="16"/>
        <v>433439.04115305515</v>
      </c>
      <c r="I43" s="126">
        <f t="shared" si="18"/>
        <v>12826.866555583691</v>
      </c>
      <c r="J43" s="126">
        <f t="shared" si="19"/>
        <v>15050.233507782139</v>
      </c>
      <c r="K43" s="126">
        <f t="shared" si="20"/>
        <v>433439.04115305515</v>
      </c>
      <c r="M43" s="116">
        <f>(Blad1!R125)*V43</f>
        <v>0</v>
      </c>
      <c r="N43" s="257">
        <f t="shared" si="7"/>
        <v>15050.233507782139</v>
      </c>
      <c r="O43" s="199">
        <f t="shared" si="13"/>
        <v>14590.35263117704</v>
      </c>
      <c r="P43" s="199">
        <f t="shared" si="14"/>
        <v>17119.396472126591</v>
      </c>
      <c r="Q43" s="122">
        <f t="shared" si="17"/>
        <v>493029.87811854994</v>
      </c>
      <c r="S43" s="200">
        <f t="shared" ref="S43:S53" si="21">(IF($J$65="J",O43,F43))*V43</f>
        <v>0</v>
      </c>
      <c r="T43" s="200">
        <f t="shared" ref="T43:T53" si="22">((IF($J$65="J",P43,G43))*V43)</f>
        <v>0</v>
      </c>
      <c r="U43" s="200">
        <f t="shared" ref="U43:U53" si="23">(IF($J$65="J",Q43,H43))*V43</f>
        <v>0</v>
      </c>
      <c r="V43" s="25">
        <f t="shared" ref="V43:V53" si="24">IF($W43=($B$70-1),1,0)</f>
        <v>0</v>
      </c>
      <c r="W43" s="25">
        <f t="shared" si="9"/>
        <v>61</v>
      </c>
    </row>
    <row r="44" spans="1:23" x14ac:dyDescent="0.3">
      <c r="A44" s="191">
        <v>62</v>
      </c>
      <c r="B44" s="193">
        <f t="shared" si="15"/>
        <v>26</v>
      </c>
      <c r="C44" s="198">
        <f>Blad1!F126</f>
        <v>36755.911456398309</v>
      </c>
      <c r="D44" s="216">
        <f t="shared" si="10"/>
        <v>1125.345368134716</v>
      </c>
      <c r="E44" s="196"/>
      <c r="F44" s="199">
        <f t="shared" si="11"/>
        <v>13436.65579163614</v>
      </c>
      <c r="G44" s="199">
        <f t="shared" si="12"/>
        <v>15351.238177937785</v>
      </c>
      <c r="H44" s="199">
        <f t="shared" si="16"/>
        <v>448790.27933099295</v>
      </c>
      <c r="I44" s="126">
        <f t="shared" si="18"/>
        <v>13436.65579163614</v>
      </c>
      <c r="J44" s="126">
        <f t="shared" si="19"/>
        <v>15351.238177937785</v>
      </c>
      <c r="K44" s="126">
        <f t="shared" si="20"/>
        <v>448790.27933099295</v>
      </c>
      <c r="M44" s="116">
        <f>(Blad1!R126)*V44</f>
        <v>0</v>
      </c>
      <c r="N44" s="257">
        <f t="shared" si="7"/>
        <v>15351.238177937785</v>
      </c>
      <c r="O44" s="199">
        <f t="shared" si="13"/>
        <v>15283.977995263198</v>
      </c>
      <c r="P44" s="199">
        <f t="shared" si="14"/>
        <v>17461.784401569126</v>
      </c>
      <c r="Q44" s="122">
        <f t="shared" si="17"/>
        <v>510491.66252011905</v>
      </c>
      <c r="S44" s="200">
        <f t="shared" si="21"/>
        <v>0</v>
      </c>
      <c r="T44" s="200">
        <f t="shared" si="22"/>
        <v>0</v>
      </c>
      <c r="U44" s="200">
        <f t="shared" si="23"/>
        <v>0</v>
      </c>
      <c r="V44" s="25">
        <f t="shared" si="24"/>
        <v>0</v>
      </c>
      <c r="W44" s="25">
        <f t="shared" si="9"/>
        <v>62</v>
      </c>
    </row>
    <row r="45" spans="1:23" x14ac:dyDescent="0.3">
      <c r="A45" s="191">
        <v>63</v>
      </c>
      <c r="B45" s="193">
        <f t="shared" si="15"/>
        <v>25</v>
      </c>
      <c r="C45" s="198">
        <f>Blad1!F127</f>
        <v>37491.029685526279</v>
      </c>
      <c r="D45" s="216">
        <f t="shared" si="10"/>
        <v>1178.8442869358405</v>
      </c>
      <c r="E45" s="196"/>
      <c r="F45" s="199">
        <f t="shared" si="11"/>
        <v>14075.434407970526</v>
      </c>
      <c r="G45" s="199">
        <f t="shared" si="12"/>
        <v>15658.262941496545</v>
      </c>
      <c r="H45" s="199">
        <f t="shared" si="16"/>
        <v>464448.54227248952</v>
      </c>
      <c r="I45" s="126">
        <f t="shared" si="18"/>
        <v>14075.434407970526</v>
      </c>
      <c r="J45" s="126">
        <f t="shared" si="19"/>
        <v>15658.262941496545</v>
      </c>
      <c r="K45" s="126">
        <f t="shared" si="20"/>
        <v>464448.54227248952</v>
      </c>
      <c r="M45" s="116">
        <f>(Blad1!R127)*V45</f>
        <v>0</v>
      </c>
      <c r="N45" s="257">
        <f t="shared" si="7"/>
        <v>15658.262941496545</v>
      </c>
      <c r="O45" s="199">
        <f t="shared" si="13"/>
        <v>16010.578309158016</v>
      </c>
      <c r="P45" s="199">
        <f t="shared" si="14"/>
        <v>17811.020089600515</v>
      </c>
      <c r="Q45" s="122">
        <f t="shared" si="17"/>
        <v>528302.68260971957</v>
      </c>
      <c r="S45" s="200">
        <f t="shared" si="21"/>
        <v>0</v>
      </c>
      <c r="T45" s="200">
        <f t="shared" si="22"/>
        <v>0</v>
      </c>
      <c r="U45" s="200">
        <f t="shared" si="23"/>
        <v>0</v>
      </c>
      <c r="V45" s="25">
        <f t="shared" si="24"/>
        <v>0</v>
      </c>
      <c r="W45" s="25">
        <f t="shared" si="9"/>
        <v>63</v>
      </c>
    </row>
    <row r="46" spans="1:23" x14ac:dyDescent="0.3">
      <c r="A46" s="191">
        <v>64</v>
      </c>
      <c r="B46" s="193">
        <f t="shared" si="15"/>
        <v>24</v>
      </c>
      <c r="C46" s="198">
        <f>Blad1!F128</f>
        <v>38240.850279236802</v>
      </c>
      <c r="D46" s="216">
        <f t="shared" si="10"/>
        <v>1234.8865443367702</v>
      </c>
      <c r="E46" s="196"/>
      <c r="F46" s="199">
        <f t="shared" si="11"/>
        <v>14744.58055972544</v>
      </c>
      <c r="G46" s="199">
        <f t="shared" si="12"/>
        <v>15971.428200326474</v>
      </c>
      <c r="H46" s="199">
        <f t="shared" si="16"/>
        <v>480419.97047281597</v>
      </c>
      <c r="I46" s="126">
        <f t="shared" si="18"/>
        <v>14744.58055972544</v>
      </c>
      <c r="J46" s="126">
        <f t="shared" si="19"/>
        <v>15971.428200326474</v>
      </c>
      <c r="K46" s="126">
        <f t="shared" si="20"/>
        <v>480419.97047281597</v>
      </c>
      <c r="M46" s="116">
        <f>(Blad1!R128)*V46</f>
        <v>0</v>
      </c>
      <c r="N46" s="257">
        <f t="shared" si="7"/>
        <v>15971.428200326474</v>
      </c>
      <c r="O46" s="199">
        <f t="shared" si="13"/>
        <v>16771.721201975382</v>
      </c>
      <c r="P46" s="199">
        <f t="shared" si="14"/>
        <v>18167.240491392524</v>
      </c>
      <c r="Q46" s="122">
        <f t="shared" si="17"/>
        <v>546469.92310111213</v>
      </c>
      <c r="S46" s="200">
        <f t="shared" si="21"/>
        <v>0</v>
      </c>
      <c r="T46" s="200">
        <f t="shared" si="22"/>
        <v>0</v>
      </c>
      <c r="U46" s="200">
        <f t="shared" si="23"/>
        <v>0</v>
      </c>
      <c r="V46" s="25">
        <f t="shared" si="24"/>
        <v>0</v>
      </c>
      <c r="W46" s="25">
        <f t="shared" si="9"/>
        <v>64</v>
      </c>
    </row>
    <row r="47" spans="1:23" x14ac:dyDescent="0.3">
      <c r="A47" s="191">
        <v>65</v>
      </c>
      <c r="B47" s="193">
        <f t="shared" si="15"/>
        <v>23</v>
      </c>
      <c r="C47" s="198">
        <f>Blad1!F129</f>
        <v>39005.667284821531</v>
      </c>
      <c r="D47" s="216">
        <f t="shared" si="10"/>
        <v>1293.5930506545396</v>
      </c>
      <c r="E47" s="196"/>
      <c r="F47" s="199">
        <f t="shared" si="11"/>
        <v>15445.537919534783</v>
      </c>
      <c r="G47" s="199">
        <f t="shared" si="12"/>
        <v>16290.856764332999</v>
      </c>
      <c r="H47" s="199">
        <f t="shared" si="16"/>
        <v>496710.82723714894</v>
      </c>
      <c r="I47" s="126">
        <f t="shared" si="18"/>
        <v>15445.537919534783</v>
      </c>
      <c r="J47" s="126">
        <f t="shared" si="19"/>
        <v>16290.856764332999</v>
      </c>
      <c r="K47" s="126">
        <f t="shared" si="20"/>
        <v>496710.82723714894</v>
      </c>
      <c r="M47" s="116">
        <f>(Blad1!R129)*V47</f>
        <v>0</v>
      </c>
      <c r="N47" s="257">
        <f t="shared" si="7"/>
        <v>16290.856764332999</v>
      </c>
      <c r="O47" s="199">
        <f t="shared" si="13"/>
        <v>17569.048827917286</v>
      </c>
      <c r="P47" s="199">
        <f t="shared" si="14"/>
        <v>18530.585301220366</v>
      </c>
      <c r="Q47" s="122">
        <f t="shared" si="17"/>
        <v>565000.50840233255</v>
      </c>
      <c r="S47" s="200">
        <f t="shared" si="21"/>
        <v>0</v>
      </c>
      <c r="T47" s="200">
        <f t="shared" si="22"/>
        <v>0</v>
      </c>
      <c r="U47" s="200">
        <f t="shared" si="23"/>
        <v>0</v>
      </c>
      <c r="V47" s="25">
        <f t="shared" si="24"/>
        <v>0</v>
      </c>
      <c r="W47" s="25">
        <f t="shared" si="9"/>
        <v>65</v>
      </c>
    </row>
    <row r="48" spans="1:23" x14ac:dyDescent="0.3">
      <c r="A48" s="191">
        <v>66</v>
      </c>
      <c r="B48" s="193">
        <f t="shared" si="15"/>
        <v>22</v>
      </c>
      <c r="C48" s="198">
        <f>Blad1!F130</f>
        <v>39785.780630517969</v>
      </c>
      <c r="D48" s="216">
        <f t="shared" si="10"/>
        <v>1355.0904642826565</v>
      </c>
      <c r="E48" s="196"/>
      <c r="F48" s="199">
        <f t="shared" si="11"/>
        <v>16179.818792229469</v>
      </c>
      <c r="G48" s="199">
        <f t="shared" si="12"/>
        <v>16616.673899619662</v>
      </c>
      <c r="H48" s="199">
        <f t="shared" si="16"/>
        <v>513327.50113676861</v>
      </c>
      <c r="I48" s="126">
        <f t="shared" si="18"/>
        <v>16179.818792229469</v>
      </c>
      <c r="J48" s="126">
        <f t="shared" si="19"/>
        <v>16616.673899619662</v>
      </c>
      <c r="K48" s="126">
        <f t="shared" si="20"/>
        <v>513327.50113676861</v>
      </c>
      <c r="M48" s="116">
        <f>(Blad1!R130)*V48</f>
        <v>0</v>
      </c>
      <c r="N48" s="257">
        <f t="shared" si="7"/>
        <v>16616.673899619662</v>
      </c>
      <c r="O48" s="199">
        <f t="shared" si="13"/>
        <v>18404.281409196476</v>
      </c>
      <c r="P48" s="199">
        <f t="shared" si="14"/>
        <v>18901.19700724478</v>
      </c>
      <c r="Q48" s="122">
        <f t="shared" si="17"/>
        <v>583901.70540957735</v>
      </c>
      <c r="S48" s="200">
        <f t="shared" si="21"/>
        <v>0</v>
      </c>
      <c r="T48" s="200">
        <f t="shared" si="22"/>
        <v>0</v>
      </c>
      <c r="U48" s="200">
        <f t="shared" si="23"/>
        <v>0</v>
      </c>
      <c r="V48" s="25">
        <f t="shared" si="24"/>
        <v>0</v>
      </c>
      <c r="W48" s="25">
        <f t="shared" si="9"/>
        <v>66</v>
      </c>
    </row>
    <row r="49" spans="1:23" x14ac:dyDescent="0.3">
      <c r="A49" s="191">
        <v>67</v>
      </c>
      <c r="B49" s="193">
        <f t="shared" si="15"/>
        <v>21</v>
      </c>
      <c r="C49" s="198">
        <f>Blad1!F131</f>
        <v>40581.496243128335</v>
      </c>
      <c r="D49" s="216">
        <f t="shared" si="10"/>
        <v>1419.5114649546545</v>
      </c>
      <c r="E49" s="196"/>
      <c r="F49" s="199">
        <f t="shared" si="11"/>
        <v>16949.007377612059</v>
      </c>
      <c r="G49" s="199">
        <f t="shared" si="12"/>
        <v>16949.007377612059</v>
      </c>
      <c r="H49" s="199">
        <f t="shared" si="16"/>
        <v>530276.50851438066</v>
      </c>
      <c r="I49" s="126">
        <f t="shared" si="18"/>
        <v>16949.007377612059</v>
      </c>
      <c r="J49" s="126">
        <f t="shared" si="19"/>
        <v>16949.007377612059</v>
      </c>
      <c r="K49" s="126">
        <f t="shared" si="20"/>
        <v>530276.50851438066</v>
      </c>
      <c r="M49" s="116">
        <f>(Blad1!R131)*V49</f>
        <v>760.90305455865632</v>
      </c>
      <c r="N49" s="257">
        <f t="shared" si="7"/>
        <v>16949.007377612059</v>
      </c>
      <c r="O49" s="199">
        <f t="shared" si="13"/>
        <v>19279.22094738968</v>
      </c>
      <c r="P49" s="199">
        <f t="shared" si="14"/>
        <v>19279.22094738968</v>
      </c>
      <c r="Q49" s="122">
        <f t="shared" si="17"/>
        <v>603180.92635696707</v>
      </c>
      <c r="S49" s="200">
        <f t="shared" si="21"/>
        <v>16949.007377612059</v>
      </c>
      <c r="T49" s="200">
        <f t="shared" si="22"/>
        <v>16949.007377612059</v>
      </c>
      <c r="U49" s="200">
        <f t="shared" si="23"/>
        <v>530276.50851438066</v>
      </c>
      <c r="V49" s="25">
        <f t="shared" si="24"/>
        <v>1</v>
      </c>
      <c r="W49" s="25">
        <f t="shared" si="9"/>
        <v>67</v>
      </c>
    </row>
    <row r="50" spans="1:23" x14ac:dyDescent="0.3">
      <c r="A50" s="191">
        <v>68</v>
      </c>
      <c r="B50" s="193">
        <f t="shared" si="15"/>
        <v>20</v>
      </c>
      <c r="C50" s="198">
        <f>Blad1!F132</f>
        <v>-3.8293807877468359E-3</v>
      </c>
      <c r="D50" s="216">
        <f t="shared" si="10"/>
        <v>-1.3756560001135698E-4</v>
      </c>
      <c r="E50" s="196"/>
      <c r="F50" s="199">
        <f t="shared" si="11"/>
        <v>-1.6425371876602638E-3</v>
      </c>
      <c r="G50" s="199">
        <f t="shared" si="12"/>
        <v>-1.5993546131063913E-3</v>
      </c>
      <c r="H50" s="199">
        <f t="shared" si="16"/>
        <v>530276.506915026</v>
      </c>
      <c r="I50" s="126">
        <f t="shared" si="18"/>
        <v>-1.6425371876602638E-3</v>
      </c>
      <c r="J50" s="126">
        <f t="shared" si="19"/>
        <v>-1.5993546131063913E-3</v>
      </c>
      <c r="K50" s="126">
        <f t="shared" si="20"/>
        <v>530276.506915026</v>
      </c>
      <c r="M50" s="116">
        <f>(Blad1!R132)*V50</f>
        <v>0</v>
      </c>
      <c r="N50" s="257">
        <f t="shared" si="7"/>
        <v>-1.5993546131063913E-3</v>
      </c>
      <c r="O50" s="199">
        <f t="shared" si="13"/>
        <v>-1.8683594059340023E-3</v>
      </c>
      <c r="P50" s="199">
        <f t="shared" si="14"/>
        <v>-1.8192399278812096E-3</v>
      </c>
      <c r="Q50" s="122">
        <f t="shared" si="17"/>
        <v>603180.92453772714</v>
      </c>
      <c r="S50" s="200">
        <f t="shared" si="21"/>
        <v>0</v>
      </c>
      <c r="T50" s="200">
        <f t="shared" si="22"/>
        <v>0</v>
      </c>
      <c r="U50" s="200">
        <f t="shared" si="23"/>
        <v>0</v>
      </c>
      <c r="V50" s="25">
        <f t="shared" si="24"/>
        <v>0</v>
      </c>
      <c r="W50" s="25">
        <f t="shared" si="9"/>
        <v>68</v>
      </c>
    </row>
    <row r="51" spans="1:23" x14ac:dyDescent="0.3">
      <c r="A51" s="191">
        <v>69</v>
      </c>
      <c r="B51" s="193">
        <f t="shared" si="15"/>
        <v>19</v>
      </c>
      <c r="C51" s="198">
        <f>Blad1!F133</f>
        <v>-3.9059692163085002E-3</v>
      </c>
      <c r="D51" s="216">
        <f t="shared" si="10"/>
        <v>-1.4410549862331159E-4</v>
      </c>
      <c r="E51" s="196"/>
      <c r="F51" s="199">
        <f t="shared" si="11"/>
        <v>-1.7206237636122194E-3</v>
      </c>
      <c r="G51" s="199">
        <f t="shared" si="12"/>
        <v>-1.6313420448401624E-3</v>
      </c>
      <c r="H51" s="199">
        <f t="shared" si="16"/>
        <v>530276.505283684</v>
      </c>
      <c r="I51" s="126">
        <f t="shared" si="18"/>
        <v>-1.7206237636122194E-3</v>
      </c>
      <c r="J51" s="126">
        <f t="shared" si="19"/>
        <v>-1.6313420448401624E-3</v>
      </c>
      <c r="K51" s="126">
        <f t="shared" si="20"/>
        <v>530276.505283684</v>
      </c>
      <c r="M51" s="116">
        <f>(Blad1!R133)*V51</f>
        <v>0</v>
      </c>
      <c r="N51" s="257">
        <f t="shared" si="7"/>
        <v>-1.6313420448401624E-3</v>
      </c>
      <c r="O51" s="199">
        <f t="shared" si="13"/>
        <v>-1.9571816193688389E-3</v>
      </c>
      <c r="P51" s="199">
        <f t="shared" si="14"/>
        <v>-1.8556251125823214E-3</v>
      </c>
      <c r="Q51" s="122">
        <f t="shared" si="17"/>
        <v>603180.92268210207</v>
      </c>
      <c r="S51" s="200">
        <f t="shared" si="21"/>
        <v>0</v>
      </c>
      <c r="T51" s="200">
        <f t="shared" si="22"/>
        <v>0</v>
      </c>
      <c r="U51" s="200">
        <f t="shared" si="23"/>
        <v>0</v>
      </c>
      <c r="V51" s="25">
        <f t="shared" si="24"/>
        <v>0</v>
      </c>
      <c r="W51" s="25">
        <f t="shared" si="9"/>
        <v>69</v>
      </c>
    </row>
    <row r="52" spans="1:23" x14ac:dyDescent="0.3">
      <c r="A52" s="191">
        <v>70</v>
      </c>
      <c r="B52" s="193">
        <f t="shared" si="15"/>
        <v>18</v>
      </c>
      <c r="C52" s="198">
        <f>Blad1!F134</f>
        <v>-3.9840886006347531E-3</v>
      </c>
      <c r="D52" s="216">
        <f t="shared" si="10"/>
        <v>-1.5095627402786696E-4</v>
      </c>
      <c r="E52" s="196"/>
      <c r="F52" s="199">
        <f t="shared" si="11"/>
        <v>-1.8024222173343817E-3</v>
      </c>
      <c r="G52" s="199">
        <f t="shared" si="12"/>
        <v>-1.6639688857370003E-3</v>
      </c>
      <c r="H52" s="199">
        <f t="shared" si="16"/>
        <v>530276.50361971511</v>
      </c>
      <c r="I52" s="126">
        <f t="shared" si="18"/>
        <v>-1.8024222173343817E-3</v>
      </c>
      <c r="J52" s="126">
        <f t="shared" si="19"/>
        <v>-1.6639688857370003E-3</v>
      </c>
      <c r="K52" s="126">
        <f t="shared" si="20"/>
        <v>530276.50361971511</v>
      </c>
      <c r="M52" s="116">
        <f>(Blad1!R134)*V52</f>
        <v>0</v>
      </c>
      <c r="N52" s="257">
        <f t="shared" si="7"/>
        <v>-1.6639688857370003E-3</v>
      </c>
      <c r="O52" s="199">
        <f t="shared" si="13"/>
        <v>-2.0502260335536759E-3</v>
      </c>
      <c r="P52" s="199">
        <f t="shared" si="14"/>
        <v>-1.8927376148340071E-3</v>
      </c>
      <c r="Q52" s="122">
        <f t="shared" si="17"/>
        <v>603180.92078936449</v>
      </c>
      <c r="S52" s="200">
        <f t="shared" si="21"/>
        <v>0</v>
      </c>
      <c r="T52" s="200">
        <f t="shared" si="22"/>
        <v>0</v>
      </c>
      <c r="U52" s="200">
        <f t="shared" si="23"/>
        <v>0</v>
      </c>
      <c r="V52" s="25">
        <f t="shared" si="24"/>
        <v>0</v>
      </c>
      <c r="W52" s="25">
        <f t="shared" si="9"/>
        <v>70</v>
      </c>
    </row>
    <row r="53" spans="1:23" x14ac:dyDescent="0.3">
      <c r="A53" s="191">
        <v>71</v>
      </c>
      <c r="B53" s="193">
        <f t="shared" si="15"/>
        <v>17</v>
      </c>
      <c r="C53" s="198">
        <f>Blad1!F135</f>
        <v>-4.0637703726474489E-3</v>
      </c>
      <c r="D53" s="216">
        <f t="shared" si="10"/>
        <v>-1.5813273529515176E-4</v>
      </c>
      <c r="E53" s="196"/>
      <c r="F53" s="199">
        <f t="shared" si="11"/>
        <v>-1.8881093695464588E-3</v>
      </c>
      <c r="G53" s="199">
        <f t="shared" si="12"/>
        <v>-1.6972482634517411E-3</v>
      </c>
      <c r="H53" s="199">
        <f t="shared" si="16"/>
        <v>530276.50192246679</v>
      </c>
      <c r="I53" s="126">
        <f t="shared" si="18"/>
        <v>-1.8881093695464588E-3</v>
      </c>
      <c r="J53" s="126">
        <f t="shared" si="19"/>
        <v>-1.6972482634517411E-3</v>
      </c>
      <c r="K53" s="126">
        <f t="shared" si="20"/>
        <v>530276.50192246679</v>
      </c>
      <c r="M53" s="116">
        <f>(Blad1!R135)*V53</f>
        <v>0</v>
      </c>
      <c r="N53" s="257">
        <f t="shared" si="7"/>
        <v>-1.6972482634517411E-3</v>
      </c>
      <c r="O53" s="199">
        <f t="shared" si="13"/>
        <v>-2.1476937791888185E-3</v>
      </c>
      <c r="P53" s="199">
        <f t="shared" si="14"/>
        <v>-1.9305923671306881E-3</v>
      </c>
      <c r="Q53" s="122">
        <f t="shared" si="17"/>
        <v>603180.91885877214</v>
      </c>
      <c r="S53" s="200">
        <f t="shared" si="21"/>
        <v>0</v>
      </c>
      <c r="T53" s="200">
        <f t="shared" si="22"/>
        <v>0</v>
      </c>
      <c r="U53" s="200">
        <f t="shared" si="23"/>
        <v>0</v>
      </c>
      <c r="V53" s="25">
        <f t="shared" si="24"/>
        <v>0</v>
      </c>
      <c r="W53" s="25">
        <f t="shared" si="9"/>
        <v>71</v>
      </c>
    </row>
    <row r="54" spans="1:23" x14ac:dyDescent="0.3">
      <c r="A54" s="197">
        <v>72</v>
      </c>
      <c r="B54" s="193">
        <f t="shared" si="15"/>
        <v>16</v>
      </c>
      <c r="C54" s="198"/>
      <c r="D54" s="196"/>
      <c r="E54" s="196"/>
      <c r="F54" s="199"/>
      <c r="G54" s="199"/>
      <c r="H54" s="199"/>
      <c r="I54" s="126"/>
      <c r="J54" s="126"/>
      <c r="K54" s="126"/>
      <c r="M54" s="116"/>
      <c r="O54" s="199"/>
      <c r="P54" s="199"/>
      <c r="Q54" s="199"/>
      <c r="R54" s="196"/>
      <c r="S54" s="196"/>
      <c r="T54" s="196"/>
      <c r="U54" s="196"/>
      <c r="W54" s="25">
        <f t="shared" si="9"/>
        <v>72</v>
      </c>
    </row>
    <row r="56" spans="1:23" x14ac:dyDescent="0.3">
      <c r="M56" s="120">
        <f>SUM(M43:M55)</f>
        <v>760.90305455865632</v>
      </c>
      <c r="S56" s="195">
        <f>SUM(S43:S55)</f>
        <v>16949.007377612059</v>
      </c>
      <c r="T56" s="195">
        <f>SUM(T43:T55)</f>
        <v>16949.007377612059</v>
      </c>
      <c r="U56" s="195">
        <f>SUM(U43:U55)</f>
        <v>530276.50851438066</v>
      </c>
      <c r="W56" s="25">
        <v>72</v>
      </c>
    </row>
    <row r="57" spans="1:23" x14ac:dyDescent="0.3">
      <c r="A57">
        <f>1+Blad1!K77/100</f>
        <v>1.0269999999999999</v>
      </c>
      <c r="B57" s="117">
        <f>A57</f>
        <v>1.0269999999999999</v>
      </c>
      <c r="C57" s="116">
        <f>SUM(C2:C56)</f>
        <v>1269656.2926163345</v>
      </c>
      <c r="D57">
        <f>SUM(D2:D56)</f>
        <v>27913.231214006413</v>
      </c>
    </row>
    <row r="59" spans="1:23" x14ac:dyDescent="0.3">
      <c r="B59" s="25" t="s">
        <v>77</v>
      </c>
      <c r="C59" s="25" t="s">
        <v>78</v>
      </c>
      <c r="G59" t="s">
        <v>93</v>
      </c>
    </row>
    <row r="60" spans="1:23" x14ac:dyDescent="0.3">
      <c r="B60" s="119">
        <f>('Arnoud VDAB Pensioenopbouw'!$D$19)</f>
        <v>26.25</v>
      </c>
      <c r="C60" s="102">
        <f>C57*B60/100</f>
        <v>333284.7768117878</v>
      </c>
      <c r="D60">
        <f>C60/D57</f>
        <v>11.940028521117641</v>
      </c>
      <c r="G60" s="102">
        <f>SUM(G2:G53)</f>
        <v>530276.50192246679</v>
      </c>
      <c r="M60" s="129">
        <f>'Arnoud VDAB Pensioenopbouw'!M15</f>
        <v>15.5</v>
      </c>
      <c r="N60" s="130">
        <f>M60</f>
        <v>15.5</v>
      </c>
    </row>
    <row r="61" spans="1:23" x14ac:dyDescent="0.3">
      <c r="G61" t="s">
        <v>94</v>
      </c>
    </row>
    <row r="62" spans="1:23" x14ac:dyDescent="0.3">
      <c r="B62" s="118"/>
      <c r="G62" s="102">
        <f>Blad1!K137</f>
        <v>603180.91885877191</v>
      </c>
    </row>
    <row r="64" spans="1:23" x14ac:dyDescent="0.3">
      <c r="G64" t="s">
        <v>95</v>
      </c>
    </row>
    <row r="65" spans="2:10" x14ac:dyDescent="0.3">
      <c r="G65">
        <f>G62/G60</f>
        <v>1.1374837781270659</v>
      </c>
      <c r="J65" s="146" t="str">
        <f>'Arnoud VDAB Pensioenopbouw'!R24</f>
        <v>n</v>
      </c>
    </row>
    <row r="70" spans="2:10" x14ac:dyDescent="0.3">
      <c r="B70" s="190">
        <f>INT('Arnoud VDAB Pensioenopbouw'!$S$22)</f>
        <v>68</v>
      </c>
      <c r="D70" s="25"/>
    </row>
  </sheetData>
  <sheetProtection password="8D29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0"/>
  <sheetViews>
    <sheetView showGridLines="0" showRowColHeaders="0" topLeftCell="A34" workbookViewId="0">
      <selection activeCell="I67" sqref="I67"/>
    </sheetView>
  </sheetViews>
  <sheetFormatPr defaultRowHeight="14.4" x14ac:dyDescent="0.3"/>
  <cols>
    <col min="1" max="1" width="3" customWidth="1"/>
    <col min="2" max="2" width="9.44140625" bestFit="1" customWidth="1"/>
    <col min="3" max="3" width="10.5546875" bestFit="1" customWidth="1"/>
    <col min="4" max="4" width="9.6640625" bestFit="1" customWidth="1"/>
    <col min="5" max="5" width="9.88671875" bestFit="1" customWidth="1"/>
    <col min="6" max="6" width="10.109375" bestFit="1" customWidth="1"/>
    <col min="7" max="7" width="9.5546875" bestFit="1" customWidth="1"/>
    <col min="8" max="8" width="8.44140625" bestFit="1" customWidth="1"/>
    <col min="9" max="9" width="7.33203125" bestFit="1" customWidth="1"/>
    <col min="10" max="10" width="12.44140625" bestFit="1" customWidth="1"/>
    <col min="11" max="11" width="12" bestFit="1" customWidth="1"/>
    <col min="12" max="12" width="3.88671875" customWidth="1"/>
    <col min="13" max="13" width="10.6640625" bestFit="1" customWidth="1"/>
    <col min="14" max="14" width="12.33203125" bestFit="1" customWidth="1"/>
    <col min="15" max="15" width="14.88671875" bestFit="1" customWidth="1"/>
    <col min="16" max="16" width="13.109375" bestFit="1" customWidth="1"/>
    <col min="17" max="17" width="14" bestFit="1" customWidth="1"/>
  </cols>
  <sheetData>
    <row r="1" spans="2:17" x14ac:dyDescent="0.3">
      <c r="K1" s="1"/>
      <c r="P1" s="1"/>
    </row>
    <row r="2" spans="2:17" x14ac:dyDescent="0.3">
      <c r="K2" s="1"/>
      <c r="P2" s="1"/>
    </row>
    <row r="3" spans="2:17" x14ac:dyDescent="0.3">
      <c r="K3" s="25"/>
      <c r="P3" s="1"/>
    </row>
    <row r="4" spans="2:17" ht="15" thickBot="1" x14ac:dyDescent="0.35">
      <c r="K4" s="1"/>
      <c r="P4" s="1"/>
    </row>
    <row r="5" spans="2:17" ht="15" thickBot="1" x14ac:dyDescent="0.35">
      <c r="B5" s="4"/>
      <c r="C5" s="5" t="s">
        <v>5</v>
      </c>
      <c r="D5" s="12" t="s">
        <v>6</v>
      </c>
      <c r="E5" s="4"/>
      <c r="F5" s="4"/>
      <c r="G5" s="4"/>
      <c r="K5" s="1"/>
      <c r="P5" s="1"/>
    </row>
    <row r="6" spans="2:17" ht="15" thickBot="1" x14ac:dyDescent="0.35">
      <c r="B6" s="4"/>
      <c r="C6" s="162">
        <f>'Arnoud VDAB Pensioenopbouw'!B19</f>
        <v>30802</v>
      </c>
      <c r="D6" s="162">
        <f>'Arnoud VDAB Pensioenopbouw'!F19</f>
        <v>14802</v>
      </c>
      <c r="E6" s="4"/>
      <c r="F6" s="10" t="s">
        <v>0</v>
      </c>
      <c r="G6" s="4"/>
      <c r="I6" s="5" t="s">
        <v>2</v>
      </c>
      <c r="J6" s="8" t="s">
        <v>17</v>
      </c>
      <c r="K6" s="1"/>
      <c r="M6" s="10" t="s">
        <v>23</v>
      </c>
      <c r="O6" s="10" t="s">
        <v>27</v>
      </c>
      <c r="P6" s="1"/>
    </row>
    <row r="7" spans="2:17" x14ac:dyDescent="0.3">
      <c r="B7" s="4"/>
      <c r="C7" s="5" t="s">
        <v>13</v>
      </c>
      <c r="D7" s="12" t="s">
        <v>13</v>
      </c>
      <c r="E7" s="4"/>
      <c r="F7" s="14" t="s">
        <v>16</v>
      </c>
      <c r="G7" s="4"/>
      <c r="I7" s="6" t="s">
        <v>9</v>
      </c>
      <c r="J7" s="68">
        <f>'Arnoud VDAB Pensioenopbouw'!Q19</f>
        <v>2.6999999999999913</v>
      </c>
      <c r="K7" s="1"/>
      <c r="M7" s="69">
        <f>'Arnoud VDAB Pensioenopbouw'!E19</f>
        <v>1.875</v>
      </c>
      <c r="O7" s="68">
        <f>'Arnoud VDAB Pensioenopbouw'!J19</f>
        <v>2.7</v>
      </c>
      <c r="P7" s="1"/>
    </row>
    <row r="8" spans="2:17" ht="15" thickBot="1" x14ac:dyDescent="0.35">
      <c r="B8" s="4"/>
      <c r="C8" s="68">
        <f>'Arnoud VDAB Pensioenopbouw'!C19</f>
        <v>0</v>
      </c>
      <c r="D8" s="68">
        <f>'Arnoud VDAB Pensioenopbouw'!G19</f>
        <v>0</v>
      </c>
      <c r="E8" s="4"/>
      <c r="F8" s="68">
        <f>'Arnoud VDAB Pensioenopbouw'!D19</f>
        <v>26.25</v>
      </c>
      <c r="G8" s="4"/>
      <c r="I8" s="6" t="s">
        <v>19</v>
      </c>
      <c r="J8" s="9" t="s">
        <v>18</v>
      </c>
      <c r="K8" s="1"/>
      <c r="M8" s="11" t="s">
        <v>24</v>
      </c>
      <c r="O8" s="14" t="s">
        <v>26</v>
      </c>
      <c r="P8" s="1"/>
    </row>
    <row r="9" spans="2:17" ht="15" thickBot="1" x14ac:dyDescent="0.35">
      <c r="B9" s="4"/>
      <c r="C9" s="7" t="s">
        <v>14</v>
      </c>
      <c r="D9" s="13" t="s">
        <v>15</v>
      </c>
      <c r="E9" s="4"/>
      <c r="F9" s="11" t="s">
        <v>20</v>
      </c>
      <c r="G9" s="4"/>
      <c r="I9" s="163">
        <f>IF('Arnoud VDAB Pensioenopbouw'!M19=("J"),Blad1!J3,IF('Arnoud VDAB Pensioenopbouw'!M19=("j"),Blad1!J3,0))</f>
        <v>0</v>
      </c>
      <c r="K9" s="1"/>
      <c r="O9" s="11" t="s">
        <v>28</v>
      </c>
      <c r="P9" s="1"/>
    </row>
    <row r="10" spans="2:17" x14ac:dyDescent="0.3">
      <c r="B10" s="4"/>
      <c r="C10" s="4"/>
      <c r="D10" s="4"/>
      <c r="E10" s="4"/>
      <c r="F10" s="4"/>
      <c r="G10" s="4"/>
      <c r="K10" s="1"/>
      <c r="P10" s="1"/>
    </row>
    <row r="11" spans="2:17" ht="15" thickBot="1" x14ac:dyDescent="0.35">
      <c r="B11" s="25"/>
      <c r="C11" s="25"/>
      <c r="G11" s="25"/>
      <c r="H11" s="25"/>
      <c r="I11" s="25"/>
      <c r="J11" s="25"/>
      <c r="K11" s="25"/>
      <c r="P11" s="1"/>
    </row>
    <row r="12" spans="2:17" x14ac:dyDescent="0.3">
      <c r="B12" s="15" t="s">
        <v>46</v>
      </c>
      <c r="C12" s="40" t="s">
        <v>5</v>
      </c>
      <c r="D12" s="10" t="s">
        <v>6</v>
      </c>
      <c r="E12" s="26" t="s">
        <v>0</v>
      </c>
      <c r="F12" s="15" t="s">
        <v>0</v>
      </c>
      <c r="G12" s="15" t="s">
        <v>0</v>
      </c>
      <c r="H12" s="26" t="s">
        <v>1</v>
      </c>
      <c r="I12" s="26" t="s">
        <v>2</v>
      </c>
      <c r="J12" s="26" t="s">
        <v>21</v>
      </c>
      <c r="K12" s="26" t="s">
        <v>3</v>
      </c>
      <c r="M12" s="34" t="s">
        <v>0</v>
      </c>
      <c r="N12" s="36" t="s">
        <v>47</v>
      </c>
      <c r="O12" s="36" t="s">
        <v>49</v>
      </c>
      <c r="P12" s="5" t="s">
        <v>51</v>
      </c>
      <c r="Q12" s="34" t="s">
        <v>71</v>
      </c>
    </row>
    <row r="13" spans="2:17" ht="15" thickBot="1" x14ac:dyDescent="0.35">
      <c r="B13" s="28" t="s">
        <v>4</v>
      </c>
      <c r="C13" s="41" t="s">
        <v>37</v>
      </c>
      <c r="D13" s="28" t="s">
        <v>32</v>
      </c>
      <c r="E13" s="29" t="s">
        <v>33</v>
      </c>
      <c r="F13" s="28" t="s">
        <v>44</v>
      </c>
      <c r="G13" s="28" t="s">
        <v>7</v>
      </c>
      <c r="H13" s="29" t="s">
        <v>8</v>
      </c>
      <c r="I13" s="29" t="s">
        <v>9</v>
      </c>
      <c r="J13" s="29" t="s">
        <v>22</v>
      </c>
      <c r="K13" s="30" t="s">
        <v>10</v>
      </c>
      <c r="M13" s="35" t="s">
        <v>25</v>
      </c>
      <c r="N13" s="61" t="s">
        <v>48</v>
      </c>
      <c r="O13" s="37" t="s">
        <v>50</v>
      </c>
      <c r="P13" s="27" t="s">
        <v>45</v>
      </c>
      <c r="Q13" s="35" t="s">
        <v>70</v>
      </c>
    </row>
    <row r="14" spans="2:17" ht="15" thickBot="1" x14ac:dyDescent="0.35">
      <c r="B14" s="43">
        <v>25</v>
      </c>
      <c r="C14" s="44">
        <f>'Arnoud VDAB Pensioenopbouw'!B19</f>
        <v>30802</v>
      </c>
      <c r="D14" s="44">
        <f>'Arnoud VDAB Pensioenopbouw'!F19</f>
        <v>14802</v>
      </c>
      <c r="E14" s="44">
        <f t="shared" ref="E14:E58" si="0">C14-D14</f>
        <v>16000</v>
      </c>
      <c r="F14" s="45">
        <f>'Arnoud VDAB Pensioenopbouw'!$D$19</f>
        <v>26.25</v>
      </c>
      <c r="G14" s="46">
        <f>IF(B14&lt;$D$66,1,0)*E14*('Arnoud VDAB Pensioenopbouw'!$D$19/100)</f>
        <v>4200</v>
      </c>
      <c r="H14" s="47">
        <f>1+'Arnoud VDAB Pensioenopbouw'!$Q$19/100</f>
        <v>1.0269999999999999</v>
      </c>
      <c r="I14" s="48">
        <f>($B$58-B14-$B$62)+Blad1!$J$79</f>
        <v>44</v>
      </c>
      <c r="J14" s="42">
        <f>G14*((1+'Arnoud VDAB Pensioenopbouw'!$Q$19/100)^I14)</f>
        <v>13562.782857447346</v>
      </c>
      <c r="K14" s="46">
        <f>J14</f>
        <v>13562.782857447346</v>
      </c>
      <c r="M14" s="107">
        <f>IF(B14&lt;$D$66,1,0)*$E14*('Arnoud VDAB Pensioenopbouw'!$E$19*((100-(($B14-25)*(Blad1!$V$14)))/100))/100</f>
        <v>300</v>
      </c>
      <c r="N14" s="105">
        <f>M14</f>
        <v>300</v>
      </c>
      <c r="O14" s="52">
        <f>M14*((1+'Arnoud VDAB Pensioenopbouw'!$J$19/100)^($D$67-B14))</f>
        <v>994.92699961417304</v>
      </c>
      <c r="P14" s="53">
        <f>O14</f>
        <v>994.92699961417304</v>
      </c>
      <c r="Q14" s="51">
        <f>IF(O14&lt;&gt;0,(((J14/'Arnoud VDAB Pensioenopbouw'!$M$15)/O14)*100),"")</f>
        <v>87.947985048842554</v>
      </c>
    </row>
    <row r="15" spans="2:17" ht="15" thickBot="1" x14ac:dyDescent="0.35">
      <c r="B15" s="16">
        <v>26</v>
      </c>
      <c r="C15" s="17">
        <f>IF(Blad2!E9&lt;&gt;"",(C14*(1+(('Arnoud VDAB Pensioenopbouw'!$C$19)/100)))*(1+Blad2!E9/100),C14*(1+(('Arnoud VDAB Pensioenopbouw'!$C$19)/100)))</f>
        <v>30802</v>
      </c>
      <c r="D15" s="17">
        <f>(D14*(1+'Arnoud VDAB Pensioenopbouw'!$G$19/100))</f>
        <v>14802</v>
      </c>
      <c r="E15" s="17">
        <f t="shared" si="0"/>
        <v>16000</v>
      </c>
      <c r="F15" s="18">
        <f>'Arnoud VDAB Pensioenopbouw'!$D$19</f>
        <v>26.25</v>
      </c>
      <c r="G15" s="19">
        <f>IF(B15&lt;$D$66,1,0)*E15*('Arnoud VDAB Pensioenopbouw'!$D$19/100)</f>
        <v>4200</v>
      </c>
      <c r="H15" s="20">
        <f>1+'Arnoud VDAB Pensioenopbouw'!$Q$19/100</f>
        <v>1.0269999999999999</v>
      </c>
      <c r="I15" s="21">
        <f>($B$58-B15-$B$62)+Blad1!$J$79</f>
        <v>43</v>
      </c>
      <c r="J15" s="22">
        <f>G15*((1+'Arnoud VDAB Pensioenopbouw'!$Q$19/100)^I15)</f>
        <v>13206.215051068499</v>
      </c>
      <c r="K15" s="23">
        <f t="shared" ref="K15:K58" si="1">K14+J15</f>
        <v>26768.997908515845</v>
      </c>
      <c r="M15" s="108">
        <f>IF(B15&lt;$D$66,1,0)*$E15*('Arnoud VDAB Pensioenopbouw'!$E$19*((100-(($B15-25)*(Blad1!$V$14)))/100))/100</f>
        <v>300</v>
      </c>
      <c r="N15" s="106">
        <f t="shared" ref="N15:N58" si="2">M15+N14</f>
        <v>600</v>
      </c>
      <c r="O15" s="62">
        <f>M15*((1+'Arnoud VDAB Pensioenopbouw'!$J$19/100)^($D$67-B15))</f>
        <v>968.77020410338184</v>
      </c>
      <c r="P15" s="23">
        <f t="shared" ref="P15:P58" si="3">P14+O15</f>
        <v>1963.6972037175549</v>
      </c>
      <c r="Q15" s="39">
        <f>IF(O15&lt;&gt;0,(((J15/'Arnoud VDAB Pensioenopbouw'!$M$15)/O15)*100),"")</f>
        <v>87.947985048842554</v>
      </c>
    </row>
    <row r="16" spans="2:17" ht="15" thickBot="1" x14ac:dyDescent="0.35">
      <c r="B16" s="16">
        <v>27</v>
      </c>
      <c r="C16" s="17">
        <f>IF(Blad2!E10&lt;&gt;"",(C15*(1+(('Arnoud VDAB Pensioenopbouw'!$C$19)/100)))*(1+Blad2!E10/100),C15*(1+(('Arnoud VDAB Pensioenopbouw'!$C$19)/100)))</f>
        <v>30802</v>
      </c>
      <c r="D16" s="17">
        <f>(D15*(1+'Arnoud VDAB Pensioenopbouw'!$G$19/100))</f>
        <v>14802</v>
      </c>
      <c r="E16" s="17">
        <f t="shared" si="0"/>
        <v>16000</v>
      </c>
      <c r="F16" s="18">
        <f>'Arnoud VDAB Pensioenopbouw'!$D$19</f>
        <v>26.25</v>
      </c>
      <c r="G16" s="19">
        <f>IF(B16&lt;$D$66,1,0)*E16*('Arnoud VDAB Pensioenopbouw'!$D$19/100)</f>
        <v>4200</v>
      </c>
      <c r="H16" s="20">
        <f>1+'Arnoud VDAB Pensioenopbouw'!$Q$19/100</f>
        <v>1.0269999999999999</v>
      </c>
      <c r="I16" s="21">
        <f>($B$58-B16-$B$62)+Blad1!$J$79</f>
        <v>42</v>
      </c>
      <c r="J16" s="22">
        <f>G16*((1+'Arnoud VDAB Pensioenopbouw'!$Q$19/100)^I16)</f>
        <v>12859.021471342257</v>
      </c>
      <c r="K16" s="23">
        <f t="shared" si="1"/>
        <v>39628.019379858102</v>
      </c>
      <c r="M16" s="108">
        <f>IF(B16&lt;$D$66,1,0)*$E16*('Arnoud VDAB Pensioenopbouw'!$E$19*((100-(($B16-25)*(Blad1!$V$14)))/100))/100</f>
        <v>300</v>
      </c>
      <c r="N16" s="106">
        <f t="shared" si="2"/>
        <v>900</v>
      </c>
      <c r="O16" s="62">
        <f>M16*((1+'Arnoud VDAB Pensioenopbouw'!$J$19/100)^($D$67-B16))</f>
        <v>943.30107507632135</v>
      </c>
      <c r="P16" s="23">
        <f t="shared" si="3"/>
        <v>2906.9982787938761</v>
      </c>
      <c r="Q16" s="39">
        <f>IF(O16&lt;&gt;0,(((J16/'Arnoud VDAB Pensioenopbouw'!$M$15)/O16)*100),"")</f>
        <v>87.94798504884254</v>
      </c>
    </row>
    <row r="17" spans="2:17" ht="15" thickBot="1" x14ac:dyDescent="0.35">
      <c r="B17" s="16">
        <v>28</v>
      </c>
      <c r="C17" s="17">
        <f>IF(Blad2!E11&lt;&gt;"",(C16*(1+(('Arnoud VDAB Pensioenopbouw'!$C$19)/100)))*(1+Blad2!E11/100),C16*(1+(('Arnoud VDAB Pensioenopbouw'!$C$19)/100)))</f>
        <v>30802</v>
      </c>
      <c r="D17" s="17">
        <f>(D16*(1+'Arnoud VDAB Pensioenopbouw'!$G$19/100))</f>
        <v>14802</v>
      </c>
      <c r="E17" s="17">
        <f t="shared" si="0"/>
        <v>16000</v>
      </c>
      <c r="F17" s="18">
        <f>'Arnoud VDAB Pensioenopbouw'!$D$19</f>
        <v>26.25</v>
      </c>
      <c r="G17" s="19">
        <f>IF(B17&lt;$D$66,1,0)*E17*('Arnoud VDAB Pensioenopbouw'!$D$19/100)</f>
        <v>4200</v>
      </c>
      <c r="H17" s="20">
        <f>1+'Arnoud VDAB Pensioenopbouw'!$Q$19/100</f>
        <v>1.0269999999999999</v>
      </c>
      <c r="I17" s="21">
        <f>($B$58-B17-$B$62)+Blad1!$J$79</f>
        <v>41</v>
      </c>
      <c r="J17" s="22">
        <f>G17*((1+'Arnoud VDAB Pensioenopbouw'!$Q$19/100)^I17)</f>
        <v>12520.955668298206</v>
      </c>
      <c r="K17" s="23">
        <f t="shared" si="1"/>
        <v>52148.97504815631</v>
      </c>
      <c r="M17" s="108">
        <f>IF(B17&lt;$D$66,1,0)*$E17*('Arnoud VDAB Pensioenopbouw'!$E$19*((100-(($B17-25)*(Blad1!$V$14)))/100))/100</f>
        <v>300</v>
      </c>
      <c r="N17" s="106">
        <f t="shared" si="2"/>
        <v>1200</v>
      </c>
      <c r="O17" s="62">
        <f>M17*((1+'Arnoud VDAB Pensioenopbouw'!$J$19/100)^($D$67-B17))</f>
        <v>918.5015336673041</v>
      </c>
      <c r="P17" s="23">
        <f t="shared" si="3"/>
        <v>3825.4998124611802</v>
      </c>
      <c r="Q17" s="39">
        <f>IF(O17&lt;&gt;0,(((J17/'Arnoud VDAB Pensioenopbouw'!$M$15)/O17)*100),"")</f>
        <v>87.94798504884254</v>
      </c>
    </row>
    <row r="18" spans="2:17" ht="15" thickBot="1" x14ac:dyDescent="0.35">
      <c r="B18" s="16">
        <v>29</v>
      </c>
      <c r="C18" s="17">
        <f>IF(Blad2!E12&lt;&gt;"",(C17*(1+(('Arnoud VDAB Pensioenopbouw'!$C$19)/100)))*(1+Blad2!E12/100),C17*(1+(('Arnoud VDAB Pensioenopbouw'!$C$19)/100)))</f>
        <v>30802</v>
      </c>
      <c r="D18" s="17">
        <f>(D17*(1+'Arnoud VDAB Pensioenopbouw'!$G$19/100))</f>
        <v>14802</v>
      </c>
      <c r="E18" s="17">
        <f t="shared" si="0"/>
        <v>16000</v>
      </c>
      <c r="F18" s="18">
        <f>'Arnoud VDAB Pensioenopbouw'!$D$19</f>
        <v>26.25</v>
      </c>
      <c r="G18" s="19">
        <f>IF(B18&lt;$D$66,1,0)*E18*('Arnoud VDAB Pensioenopbouw'!$D$19/100)</f>
        <v>4200</v>
      </c>
      <c r="H18" s="20">
        <f>1+'Arnoud VDAB Pensioenopbouw'!$Q$19/100</f>
        <v>1.0269999999999999</v>
      </c>
      <c r="I18" s="21">
        <f>($B$58-B18-$B$62)+Blad1!$J$79</f>
        <v>40</v>
      </c>
      <c r="J18" s="22">
        <f>G18*((1+'Arnoud VDAB Pensioenopbouw'!$Q$19/100)^I18)</f>
        <v>12191.777671176444</v>
      </c>
      <c r="K18" s="23">
        <f t="shared" si="1"/>
        <v>64340.752719332755</v>
      </c>
      <c r="M18" s="108">
        <f>IF(B18&lt;$D$66,1,0)*$E18*('Arnoud VDAB Pensioenopbouw'!$E$19*((100-(($B18-25)*(Blad1!$V$14)))/100))/100</f>
        <v>300</v>
      </c>
      <c r="N18" s="106">
        <f t="shared" si="2"/>
        <v>1500</v>
      </c>
      <c r="O18" s="62">
        <f>M18*((1+'Arnoud VDAB Pensioenopbouw'!$J$19/100)^($D$67-B18))</f>
        <v>894.3539763070147</v>
      </c>
      <c r="P18" s="23">
        <f t="shared" si="3"/>
        <v>4719.853788768195</v>
      </c>
      <c r="Q18" s="39">
        <f>IF(O18&lt;&gt;0,(((J18/'Arnoud VDAB Pensioenopbouw'!$M$15)/O18)*100),"")</f>
        <v>87.947985048842554</v>
      </c>
    </row>
    <row r="19" spans="2:17" ht="15" thickBot="1" x14ac:dyDescent="0.35">
      <c r="B19" s="16">
        <v>30</v>
      </c>
      <c r="C19" s="17">
        <f>IF(Blad2!E13&lt;&gt;"",(C18*(1+(('Arnoud VDAB Pensioenopbouw'!$C$19)/100)))*(1+Blad2!E13/100),C18*(1+(('Arnoud VDAB Pensioenopbouw'!$C$19)/100)))</f>
        <v>30802</v>
      </c>
      <c r="D19" s="17">
        <f>(D18*(1+'Arnoud VDAB Pensioenopbouw'!$G$19/100))</f>
        <v>14802</v>
      </c>
      <c r="E19" s="17">
        <f t="shared" si="0"/>
        <v>16000</v>
      </c>
      <c r="F19" s="18">
        <f>'Arnoud VDAB Pensioenopbouw'!$D$19</f>
        <v>26.25</v>
      </c>
      <c r="G19" s="19">
        <f>IF(B19&lt;$D$66,1,0)*E19*('Arnoud VDAB Pensioenopbouw'!$D$19/100)</f>
        <v>4200</v>
      </c>
      <c r="H19" s="20">
        <f>1+'Arnoud VDAB Pensioenopbouw'!$Q$19/100</f>
        <v>1.0269999999999999</v>
      </c>
      <c r="I19" s="21">
        <f>($B$58-B19-$B$62)+Blad1!$J$79</f>
        <v>39</v>
      </c>
      <c r="J19" s="22">
        <f>G19*((1+'Arnoud VDAB Pensioenopbouw'!$Q$19/100)^I19)</f>
        <v>11871.253818088069</v>
      </c>
      <c r="K19" s="23">
        <f t="shared" si="1"/>
        <v>76212.006537420821</v>
      </c>
      <c r="M19" s="108">
        <f>IF(B19&lt;$D$66,1,0)*$E19*('Arnoud VDAB Pensioenopbouw'!$E$19*((100-(($B19-25)*(Blad1!$V$14)))/100))/100</f>
        <v>300</v>
      </c>
      <c r="N19" s="106">
        <f t="shared" si="2"/>
        <v>1800</v>
      </c>
      <c r="O19" s="62">
        <f>M19*((1+'Arnoud VDAB Pensioenopbouw'!$J$19/100)^($D$67-B19))</f>
        <v>870.84126222688894</v>
      </c>
      <c r="P19" s="23">
        <f t="shared" si="3"/>
        <v>5590.6950509950839</v>
      </c>
      <c r="Q19" s="39">
        <f>IF(O19&lt;&gt;0,(((J19/'Arnoud VDAB Pensioenopbouw'!$M$15)/O19)*100),"")</f>
        <v>87.947985048842554</v>
      </c>
    </row>
    <row r="20" spans="2:17" ht="15" thickBot="1" x14ac:dyDescent="0.35">
      <c r="B20" s="16">
        <v>31</v>
      </c>
      <c r="C20" s="17">
        <f>IF(Blad2!E14&lt;&gt;"",(C19*(1+(('Arnoud VDAB Pensioenopbouw'!$C$19)/100)))*(1+Blad2!E14/100),C19*(1+(('Arnoud VDAB Pensioenopbouw'!$C$19)/100)))</f>
        <v>30802</v>
      </c>
      <c r="D20" s="17">
        <f>(D19*(1+'Arnoud VDAB Pensioenopbouw'!$G$19/100))</f>
        <v>14802</v>
      </c>
      <c r="E20" s="17">
        <f t="shared" si="0"/>
        <v>16000</v>
      </c>
      <c r="F20" s="18">
        <f>'Arnoud VDAB Pensioenopbouw'!$D$19</f>
        <v>26.25</v>
      </c>
      <c r="G20" s="19">
        <f>IF(B20&lt;$D$66,1,0)*E20*('Arnoud VDAB Pensioenopbouw'!$D$19/100)</f>
        <v>4200</v>
      </c>
      <c r="H20" s="20">
        <f>1+'Arnoud VDAB Pensioenopbouw'!$Q$19/100</f>
        <v>1.0269999999999999</v>
      </c>
      <c r="I20" s="21">
        <f>($B$58-B20-$B$62)+Blad1!$J$79</f>
        <v>38</v>
      </c>
      <c r="J20" s="22">
        <f>G20*((1+'Arnoud VDAB Pensioenopbouw'!$Q$19/100)^I20)</f>
        <v>11559.156590153914</v>
      </c>
      <c r="K20" s="23">
        <f t="shared" si="1"/>
        <v>87771.163127574735</v>
      </c>
      <c r="M20" s="108">
        <f>IF(B20&lt;$D$66,1,0)*$E20*('Arnoud VDAB Pensioenopbouw'!$E$19*((100-(($B20-25)*(Blad1!$V$14)))/100))/100</f>
        <v>300</v>
      </c>
      <c r="N20" s="106">
        <f t="shared" si="2"/>
        <v>2100</v>
      </c>
      <c r="O20" s="62">
        <f>M20*((1+'Arnoud VDAB Pensioenopbouw'!$J$19/100)^($D$67-B20))</f>
        <v>847.94670129200495</v>
      </c>
      <c r="P20" s="23">
        <f t="shared" si="3"/>
        <v>6438.6417522870888</v>
      </c>
      <c r="Q20" s="39">
        <f>IF(O20&lt;&gt;0,(((J20/'Arnoud VDAB Pensioenopbouw'!$M$15)/O20)*100),"")</f>
        <v>87.947985048842554</v>
      </c>
    </row>
    <row r="21" spans="2:17" ht="15" thickBot="1" x14ac:dyDescent="0.35">
      <c r="B21" s="16">
        <v>32</v>
      </c>
      <c r="C21" s="17">
        <f>IF(Blad2!E15&lt;&gt;"",(C20*(1+(('Arnoud VDAB Pensioenopbouw'!$C$19)/100)))*(1+Blad2!E15/100),C20*(1+(('Arnoud VDAB Pensioenopbouw'!$C$19)/100)))</f>
        <v>30802</v>
      </c>
      <c r="D21" s="17">
        <f>(D20*(1+'Arnoud VDAB Pensioenopbouw'!$G$19/100))</f>
        <v>14802</v>
      </c>
      <c r="E21" s="17">
        <f t="shared" si="0"/>
        <v>16000</v>
      </c>
      <c r="F21" s="18">
        <f>'Arnoud VDAB Pensioenopbouw'!$D$19</f>
        <v>26.25</v>
      </c>
      <c r="G21" s="19">
        <f>IF(B21&lt;$D$66,1,0)*E21*('Arnoud VDAB Pensioenopbouw'!$D$19/100)</f>
        <v>4200</v>
      </c>
      <c r="H21" s="20">
        <f>1+'Arnoud VDAB Pensioenopbouw'!$Q$19/100</f>
        <v>1.0269999999999999</v>
      </c>
      <c r="I21" s="21">
        <f>($B$58-B21-$B$62)+Blad1!$J$79</f>
        <v>37</v>
      </c>
      <c r="J21" s="22">
        <f>G21*((1+'Arnoud VDAB Pensioenopbouw'!$Q$19/100)^I21)</f>
        <v>11255.264450003811</v>
      </c>
      <c r="K21" s="23">
        <f t="shared" si="1"/>
        <v>99026.42757757855</v>
      </c>
      <c r="M21" s="108">
        <f>IF(B21&lt;$D$66,1,0)*$E21*('Arnoud VDAB Pensioenopbouw'!$E$19*((100-(($B21-25)*(Blad1!$V$14)))/100))/100</f>
        <v>300</v>
      </c>
      <c r="N21" s="106">
        <f t="shared" si="2"/>
        <v>2400</v>
      </c>
      <c r="O21" s="62">
        <f>M21*((1+'Arnoud VDAB Pensioenopbouw'!$J$19/100)^($D$67-B21))</f>
        <v>825.65404215385092</v>
      </c>
      <c r="P21" s="23">
        <f t="shared" si="3"/>
        <v>7264.29579444094</v>
      </c>
      <c r="Q21" s="39">
        <f>IF(O21&lt;&gt;0,(((J21/'Arnoud VDAB Pensioenopbouw'!$M$15)/O21)*100),"")</f>
        <v>87.947985048842554</v>
      </c>
    </row>
    <row r="22" spans="2:17" ht="15" thickBot="1" x14ac:dyDescent="0.35">
      <c r="B22" s="16">
        <v>33</v>
      </c>
      <c r="C22" s="17">
        <f>IF(Blad2!E16&lt;&gt;"",(C21*(1+(('Arnoud VDAB Pensioenopbouw'!$C$19)/100)))*(1+Blad2!E16/100),C21*(1+(('Arnoud VDAB Pensioenopbouw'!$C$19)/100)))</f>
        <v>30802</v>
      </c>
      <c r="D22" s="17">
        <f>(D21*(1+'Arnoud VDAB Pensioenopbouw'!$G$19/100))</f>
        <v>14802</v>
      </c>
      <c r="E22" s="17">
        <f t="shared" si="0"/>
        <v>16000</v>
      </c>
      <c r="F22" s="18">
        <f>'Arnoud VDAB Pensioenopbouw'!$D$19</f>
        <v>26.25</v>
      </c>
      <c r="G22" s="19">
        <f>IF(B22&lt;$D$66,1,0)*E22*('Arnoud VDAB Pensioenopbouw'!$D$19/100)</f>
        <v>4200</v>
      </c>
      <c r="H22" s="20">
        <f>1+'Arnoud VDAB Pensioenopbouw'!$Q$19/100</f>
        <v>1.0269999999999999</v>
      </c>
      <c r="I22" s="21">
        <f>($B$58-B22-$B$62)+Blad1!$J$79</f>
        <v>36</v>
      </c>
      <c r="J22" s="22">
        <f>G22*((1+'Arnoud VDAB Pensioenopbouw'!$Q$19/100)^I22)</f>
        <v>10959.361684521728</v>
      </c>
      <c r="K22" s="23">
        <f t="shared" si="1"/>
        <v>109985.78926210028</v>
      </c>
      <c r="M22" s="108">
        <f>IF(B22&lt;$D$66,1,0)*$E22*('Arnoud VDAB Pensioenopbouw'!$E$19*((100-(($B22-25)*(Blad1!$V$14)))/100))/100</f>
        <v>300</v>
      </c>
      <c r="N22" s="106">
        <f t="shared" si="2"/>
        <v>2700</v>
      </c>
      <c r="O22" s="62">
        <f>M22*((1+'Arnoud VDAB Pensioenopbouw'!$J$19/100)^($D$67-B22))</f>
        <v>803.94746071455791</v>
      </c>
      <c r="P22" s="23">
        <f t="shared" si="3"/>
        <v>8068.2432551554975</v>
      </c>
      <c r="Q22" s="39">
        <f>IF(O22&lt;&gt;0,(((J22/'Arnoud VDAB Pensioenopbouw'!$M$15)/O22)*100),"")</f>
        <v>87.947985048842568</v>
      </c>
    </row>
    <row r="23" spans="2:17" ht="15" thickBot="1" x14ac:dyDescent="0.35">
      <c r="B23" s="16">
        <v>34</v>
      </c>
      <c r="C23" s="17">
        <f>IF(Blad2!E17&lt;&gt;"",(C22*(1+(('Arnoud VDAB Pensioenopbouw'!$C$19)/100)))*(1+Blad2!E17/100),C22*(1+(('Arnoud VDAB Pensioenopbouw'!$C$19)/100)))</f>
        <v>30802</v>
      </c>
      <c r="D23" s="17">
        <f>(D22*(1+'Arnoud VDAB Pensioenopbouw'!$G$19/100))</f>
        <v>14802</v>
      </c>
      <c r="E23" s="17">
        <f t="shared" si="0"/>
        <v>16000</v>
      </c>
      <c r="F23" s="18">
        <f>'Arnoud VDAB Pensioenopbouw'!$D$19</f>
        <v>26.25</v>
      </c>
      <c r="G23" s="19">
        <f>IF(B23&lt;$D$66,1,0)*E23*('Arnoud VDAB Pensioenopbouw'!$D$19/100)</f>
        <v>4200</v>
      </c>
      <c r="H23" s="20">
        <f>1+'Arnoud VDAB Pensioenopbouw'!$Q$19/100</f>
        <v>1.0269999999999999</v>
      </c>
      <c r="I23" s="21">
        <f>($B$58-B23-$B$62)+Blad1!$J$79</f>
        <v>35</v>
      </c>
      <c r="J23" s="22">
        <f>G23*((1+'Arnoud VDAB Pensioenopbouw'!$Q$19/100)^I23)</f>
        <v>10671.238251725148</v>
      </c>
      <c r="K23" s="23">
        <f t="shared" si="1"/>
        <v>120657.02751382544</v>
      </c>
      <c r="M23" s="108">
        <f>IF(B23&lt;$D$66,1,0)*$E23*('Arnoud VDAB Pensioenopbouw'!$E$19*((100-(($B23-25)*(Blad1!$V$14)))/100))/100</f>
        <v>300</v>
      </c>
      <c r="N23" s="106">
        <f t="shared" si="2"/>
        <v>3000</v>
      </c>
      <c r="O23" s="62">
        <f>M23*((1+'Arnoud VDAB Pensioenopbouw'!$J$19/100)^($D$67-B23))</f>
        <v>782.81154889440904</v>
      </c>
      <c r="P23" s="23">
        <f t="shared" si="3"/>
        <v>8851.054804049907</v>
      </c>
      <c r="Q23" s="39">
        <f>IF(O23&lt;&gt;0,(((J23/'Arnoud VDAB Pensioenopbouw'!$M$15)/O23)*100),"")</f>
        <v>87.947985048842554</v>
      </c>
    </row>
    <row r="24" spans="2:17" ht="15" thickBot="1" x14ac:dyDescent="0.35">
      <c r="B24" s="43">
        <v>35</v>
      </c>
      <c r="C24" s="44">
        <f>IF(Blad2!E18&lt;&gt;"",(C23*(1+(('Arnoud VDAB Pensioenopbouw'!$C$19)/100)))*(1+Blad2!E18/100),C23*(1+(('Arnoud VDAB Pensioenopbouw'!$C$19)/100)))</f>
        <v>30802</v>
      </c>
      <c r="D24" s="44">
        <f>(D23*(1+'Arnoud VDAB Pensioenopbouw'!$G$19/100))</f>
        <v>14802</v>
      </c>
      <c r="E24" s="44">
        <f t="shared" si="0"/>
        <v>16000</v>
      </c>
      <c r="F24" s="45">
        <f>'Arnoud VDAB Pensioenopbouw'!$D$19</f>
        <v>26.25</v>
      </c>
      <c r="G24" s="46">
        <f>IF(B24&lt;$D$66,1,0)*E24*('Arnoud VDAB Pensioenopbouw'!$D$19/100)</f>
        <v>4200</v>
      </c>
      <c r="H24" s="47">
        <f>1+'Arnoud VDAB Pensioenopbouw'!$Q$19/100</f>
        <v>1.0269999999999999</v>
      </c>
      <c r="I24" s="48">
        <f>($B$58-B24-$B$62)+Blad1!$J$79</f>
        <v>34</v>
      </c>
      <c r="J24" s="42">
        <f>G24*((1+'Arnoud VDAB Pensioenopbouw'!$Q$19/100)^I24)</f>
        <v>10390.689631670057</v>
      </c>
      <c r="K24" s="49">
        <f t="shared" si="1"/>
        <v>131047.7171454955</v>
      </c>
      <c r="M24" s="107">
        <f>IF(B24&lt;$D$66,1,0)*$E24*('Arnoud VDAB Pensioenopbouw'!$E$19*((100-(($B24-25)*(Blad1!$V$14)))/100))/100</f>
        <v>300</v>
      </c>
      <c r="N24" s="105">
        <f t="shared" si="2"/>
        <v>3300</v>
      </c>
      <c r="O24" s="52">
        <f>M24*((1+'Arnoud VDAB Pensioenopbouw'!$J$19/100)^($D$67-B24))</f>
        <v>762.23130369465343</v>
      </c>
      <c r="P24" s="49">
        <f t="shared" si="3"/>
        <v>9613.2861077445596</v>
      </c>
      <c r="Q24" s="51">
        <f>IF(O24&lt;&gt;0,(((J24/'Arnoud VDAB Pensioenopbouw'!$M$15)/O24)*100),"")</f>
        <v>87.94798504884254</v>
      </c>
    </row>
    <row r="25" spans="2:17" ht="15" thickBot="1" x14ac:dyDescent="0.35">
      <c r="B25" s="16">
        <v>36</v>
      </c>
      <c r="C25" s="17">
        <f>IF(Blad2!E19&lt;&gt;"",(C24*(1+(('Arnoud VDAB Pensioenopbouw'!$C$19)/100)))*(1+Blad2!E19/100),C24*(1+(('Arnoud VDAB Pensioenopbouw'!$C$19)/100)))</f>
        <v>30802</v>
      </c>
      <c r="D25" s="17">
        <f>(D24*(1+'Arnoud VDAB Pensioenopbouw'!$G$19/100))</f>
        <v>14802</v>
      </c>
      <c r="E25" s="17">
        <f t="shared" si="0"/>
        <v>16000</v>
      </c>
      <c r="F25" s="18">
        <f>'Arnoud VDAB Pensioenopbouw'!$D$19</f>
        <v>26.25</v>
      </c>
      <c r="G25" s="19">
        <f>IF(B25&lt;$D$66,1,0)*E25*('Arnoud VDAB Pensioenopbouw'!$D$19/100)</f>
        <v>4200</v>
      </c>
      <c r="H25" s="20">
        <f>1+'Arnoud VDAB Pensioenopbouw'!$Q$19/100</f>
        <v>1.0269999999999999</v>
      </c>
      <c r="I25" s="21">
        <f>($B$58-B25-$B$62)+Blad1!$J$79</f>
        <v>33</v>
      </c>
      <c r="J25" s="22">
        <f>G25*((1+'Arnoud VDAB Pensioenopbouw'!$Q$19/100)^I25)</f>
        <v>10117.516681275618</v>
      </c>
      <c r="K25" s="23">
        <f t="shared" si="1"/>
        <v>141165.23382677112</v>
      </c>
      <c r="M25" s="108">
        <f>IF(B25&lt;$D$66,1,0)*$E25*('Arnoud VDAB Pensioenopbouw'!$E$19*((100-(($B25-25)*(Blad1!$V$14)))/100))/100</f>
        <v>300</v>
      </c>
      <c r="N25" s="106">
        <f t="shared" si="2"/>
        <v>3600</v>
      </c>
      <c r="O25" s="62">
        <f>M25*((1+'Arnoud VDAB Pensioenopbouw'!$J$19/100)^($D$67-B25))</f>
        <v>742.19211654786125</v>
      </c>
      <c r="P25" s="23">
        <f t="shared" si="3"/>
        <v>10355.478224292421</v>
      </c>
      <c r="Q25" s="39">
        <f>IF(O25&lt;&gt;0,(((J25/'Arnoud VDAB Pensioenopbouw'!$M$15)/O25)*100),"")</f>
        <v>87.947985048842554</v>
      </c>
    </row>
    <row r="26" spans="2:17" ht="15" thickBot="1" x14ac:dyDescent="0.35">
      <c r="B26" s="16">
        <v>37</v>
      </c>
      <c r="C26" s="17">
        <f>IF(Blad2!E20&lt;&gt;"",(C25*(1+(('Arnoud VDAB Pensioenopbouw'!$C$19)/100)))*(1+Blad2!E20/100),C25*(1+(('Arnoud VDAB Pensioenopbouw'!$C$19)/100)))</f>
        <v>30802</v>
      </c>
      <c r="D26" s="17">
        <f>(D25*(1+'Arnoud VDAB Pensioenopbouw'!$G$19/100))</f>
        <v>14802</v>
      </c>
      <c r="E26" s="17">
        <f t="shared" si="0"/>
        <v>16000</v>
      </c>
      <c r="F26" s="18">
        <f>'Arnoud VDAB Pensioenopbouw'!$D$19</f>
        <v>26.25</v>
      </c>
      <c r="G26" s="19">
        <f>IF(B26&lt;$D$66,1,0)*E26*('Arnoud VDAB Pensioenopbouw'!$D$19/100)</f>
        <v>4200</v>
      </c>
      <c r="H26" s="20">
        <f>1+'Arnoud VDAB Pensioenopbouw'!$Q$19/100</f>
        <v>1.0269999999999999</v>
      </c>
      <c r="I26" s="21">
        <f>($B$58-B26-$B$62)+Blad1!$J$79</f>
        <v>32</v>
      </c>
      <c r="J26" s="22">
        <f>G26*((1+'Arnoud VDAB Pensioenopbouw'!$Q$19/100)^I26)</f>
        <v>9851.5254929655475</v>
      </c>
      <c r="K26" s="23">
        <f t="shared" si="1"/>
        <v>151016.75931973665</v>
      </c>
      <c r="M26" s="108">
        <f>IF(B26&lt;$D$66,1,0)*$E26*('Arnoud VDAB Pensioenopbouw'!$E$19*((100-(($B26-25)*(Blad1!$V$14)))/100))/100</f>
        <v>300</v>
      </c>
      <c r="N26" s="106">
        <f t="shared" si="2"/>
        <v>3900</v>
      </c>
      <c r="O26" s="62">
        <f>M26*((1+'Arnoud VDAB Pensioenopbouw'!$J$19/100)^($D$67-B26))</f>
        <v>722.67976294825837</v>
      </c>
      <c r="P26" s="23">
        <f t="shared" si="3"/>
        <v>11078.15798724068</v>
      </c>
      <c r="Q26" s="39">
        <f>IF(O26&lt;&gt;0,(((J26/'Arnoud VDAB Pensioenopbouw'!$M$15)/O26)*100),"")</f>
        <v>87.94798504884254</v>
      </c>
    </row>
    <row r="27" spans="2:17" ht="15" thickBot="1" x14ac:dyDescent="0.35">
      <c r="B27" s="16">
        <v>38</v>
      </c>
      <c r="C27" s="17">
        <f>IF(Blad2!E21&lt;&gt;"",(C26*(1+(('Arnoud VDAB Pensioenopbouw'!$C$19)/100)))*(1+Blad2!E21/100),C26*(1+(('Arnoud VDAB Pensioenopbouw'!$C$19)/100)))</f>
        <v>30802</v>
      </c>
      <c r="D27" s="17">
        <f>(D26*(1+'Arnoud VDAB Pensioenopbouw'!$G$19/100))</f>
        <v>14802</v>
      </c>
      <c r="E27" s="17">
        <f t="shared" si="0"/>
        <v>16000</v>
      </c>
      <c r="F27" s="18">
        <f>'Arnoud VDAB Pensioenopbouw'!$D$19</f>
        <v>26.25</v>
      </c>
      <c r="G27" s="19">
        <f>IF(B27&lt;$D$66,1,0)*E27*('Arnoud VDAB Pensioenopbouw'!$D$19/100)</f>
        <v>4200</v>
      </c>
      <c r="H27" s="20">
        <f>1+'Arnoud VDAB Pensioenopbouw'!$Q$19/100</f>
        <v>1.0269999999999999</v>
      </c>
      <c r="I27" s="21">
        <f>($B$58-B27-$B$62)+Blad1!$J$79</f>
        <v>31</v>
      </c>
      <c r="J27" s="22">
        <f>G27*((1+'Arnoud VDAB Pensioenopbouw'!$Q$19/100)^I27)</f>
        <v>9592.5272570258512</v>
      </c>
      <c r="K27" s="23">
        <f t="shared" si="1"/>
        <v>160609.2865767625</v>
      </c>
      <c r="M27" s="108">
        <f>IF(B27&lt;$D$66,1,0)*$E27*('Arnoud VDAB Pensioenopbouw'!$E$19*((100-(($B27-25)*(Blad1!$V$14)))/100))/100</f>
        <v>300</v>
      </c>
      <c r="N27" s="106">
        <f t="shared" si="2"/>
        <v>4200</v>
      </c>
      <c r="O27" s="62">
        <f>M27*((1+'Arnoud VDAB Pensioenopbouw'!$J$19/100)^($D$67-B27))</f>
        <v>703.680392354682</v>
      </c>
      <c r="P27" s="23">
        <f t="shared" si="3"/>
        <v>11781.838379595361</v>
      </c>
      <c r="Q27" s="39">
        <f>IF(O27&lt;&gt;0,(((J27/'Arnoud VDAB Pensioenopbouw'!$M$15)/O27)*100),"")</f>
        <v>87.947985048842554</v>
      </c>
    </row>
    <row r="28" spans="2:17" ht="15" thickBot="1" x14ac:dyDescent="0.35">
      <c r="B28" s="16">
        <v>39</v>
      </c>
      <c r="C28" s="17">
        <f>IF(Blad2!E22&lt;&gt;"",(C27*(1+(('Arnoud VDAB Pensioenopbouw'!$C$19)/100)))*(1+Blad2!E22/100),C27*(1+(('Arnoud VDAB Pensioenopbouw'!$C$19)/100)))</f>
        <v>30802</v>
      </c>
      <c r="D28" s="17">
        <f>(D27*(1+'Arnoud VDAB Pensioenopbouw'!$G$19/100))</f>
        <v>14802</v>
      </c>
      <c r="E28" s="17">
        <f t="shared" si="0"/>
        <v>16000</v>
      </c>
      <c r="F28" s="18">
        <f>'Arnoud VDAB Pensioenopbouw'!$D$19</f>
        <v>26.25</v>
      </c>
      <c r="G28" s="19">
        <f>IF(B28&lt;$D$66,1,0)*E28*('Arnoud VDAB Pensioenopbouw'!$D$19/100)</f>
        <v>4200</v>
      </c>
      <c r="H28" s="20">
        <f>1+'Arnoud VDAB Pensioenopbouw'!$Q$19/100</f>
        <v>1.0269999999999999</v>
      </c>
      <c r="I28" s="21">
        <f>($B$58-B28-$B$62)+Blad1!$J$79</f>
        <v>30</v>
      </c>
      <c r="J28" s="22">
        <f>G28*((1+'Arnoud VDAB Pensioenopbouw'!$Q$19/100)^I28)</f>
        <v>9340.3381275811589</v>
      </c>
      <c r="K28" s="23">
        <f t="shared" si="1"/>
        <v>169949.62470434367</v>
      </c>
      <c r="M28" s="108">
        <f>IF(B28&lt;$D$66,1,0)*$E28*('Arnoud VDAB Pensioenopbouw'!$E$19*((100-(($B28-25)*(Blad1!$V$14)))/100))/100</f>
        <v>300</v>
      </c>
      <c r="N28" s="106">
        <f t="shared" si="2"/>
        <v>4500</v>
      </c>
      <c r="O28" s="62">
        <f>M28*((1+'Arnoud VDAB Pensioenopbouw'!$J$19/100)^($D$67-B28))</f>
        <v>685.18051835898939</v>
      </c>
      <c r="P28" s="23">
        <f t="shared" si="3"/>
        <v>12467.018897954351</v>
      </c>
      <c r="Q28" s="39">
        <f>IF(O28&lt;&gt;0,(((J28/'Arnoud VDAB Pensioenopbouw'!$M$15)/O28)*100),"")</f>
        <v>87.94798504884254</v>
      </c>
    </row>
    <row r="29" spans="2:17" ht="15" thickBot="1" x14ac:dyDescent="0.35">
      <c r="B29" s="16">
        <v>40</v>
      </c>
      <c r="C29" s="17">
        <f>IF(Blad2!E23&lt;&gt;"",(C28*(1+(('Arnoud VDAB Pensioenopbouw'!$C$19)/100)))*(1+Blad2!E23/100),C28*(1+(('Arnoud VDAB Pensioenopbouw'!$C$19)/100)))</f>
        <v>30802</v>
      </c>
      <c r="D29" s="17">
        <f>(D28*(1+'Arnoud VDAB Pensioenopbouw'!$G$19/100))</f>
        <v>14802</v>
      </c>
      <c r="E29" s="17">
        <f t="shared" si="0"/>
        <v>16000</v>
      </c>
      <c r="F29" s="18">
        <f>'Arnoud VDAB Pensioenopbouw'!$D$19</f>
        <v>26.25</v>
      </c>
      <c r="G29" s="19">
        <f>IF(B29&lt;$D$66,1,0)*E29*('Arnoud VDAB Pensioenopbouw'!$D$19/100)</f>
        <v>4200</v>
      </c>
      <c r="H29" s="20">
        <f>1+'Arnoud VDAB Pensioenopbouw'!$Q$19/100</f>
        <v>1.0269999999999999</v>
      </c>
      <c r="I29" s="21">
        <f>($B$58-B29-$B$62)+Blad1!$J$79</f>
        <v>29</v>
      </c>
      <c r="J29" s="22">
        <f>G29*((1+'Arnoud VDAB Pensioenopbouw'!$Q$19/100)^I29)</f>
        <v>9094.7790920946063</v>
      </c>
      <c r="K29" s="23">
        <f t="shared" si="1"/>
        <v>179044.40379643827</v>
      </c>
      <c r="M29" s="108">
        <f>IF(B29&lt;$D$66,1,0)*$E29*('Arnoud VDAB Pensioenopbouw'!$E$19*((100-(($B29-25)*(Blad1!$V$14)))/100))/100</f>
        <v>300</v>
      </c>
      <c r="N29" s="106">
        <f t="shared" si="2"/>
        <v>4800</v>
      </c>
      <c r="O29" s="62">
        <f>M29*((1+'Arnoud VDAB Pensioenopbouw'!$J$19/100)^($D$67-B29))</f>
        <v>667.16700911293992</v>
      </c>
      <c r="P29" s="23">
        <f t="shared" si="3"/>
        <v>13134.185907067291</v>
      </c>
      <c r="Q29" s="39">
        <f>IF(O29&lt;&gt;0,(((J29/'Arnoud VDAB Pensioenopbouw'!$M$15)/O29)*100),"")</f>
        <v>87.947985048842554</v>
      </c>
    </row>
    <row r="30" spans="2:17" ht="15" thickBot="1" x14ac:dyDescent="0.35">
      <c r="B30" s="16">
        <v>41</v>
      </c>
      <c r="C30" s="17">
        <f>IF(Blad2!E24&lt;&gt;"",(C29*(1+(('Arnoud VDAB Pensioenopbouw'!$C$19)/100)))*(1+Blad2!E24/100),C29*(1+(('Arnoud VDAB Pensioenopbouw'!$C$19)/100)))</f>
        <v>30802</v>
      </c>
      <c r="D30" s="17">
        <f>(D29*(1+'Arnoud VDAB Pensioenopbouw'!$G$19/100))</f>
        <v>14802</v>
      </c>
      <c r="E30" s="17">
        <f t="shared" si="0"/>
        <v>16000</v>
      </c>
      <c r="F30" s="18">
        <f>'Arnoud VDAB Pensioenopbouw'!$D$19</f>
        <v>26.25</v>
      </c>
      <c r="G30" s="19">
        <f>IF(B30&lt;$D$66,1,0)*E30*('Arnoud VDAB Pensioenopbouw'!$D$19/100)</f>
        <v>4200</v>
      </c>
      <c r="H30" s="20">
        <f>1+'Arnoud VDAB Pensioenopbouw'!$Q$19/100</f>
        <v>1.0269999999999999</v>
      </c>
      <c r="I30" s="21">
        <f>($B$58-B30-$B$62)+Blad1!$J$79</f>
        <v>28</v>
      </c>
      <c r="J30" s="22">
        <f>G30*((1+'Arnoud VDAB Pensioenopbouw'!$Q$19/100)^I30)</f>
        <v>8855.6758442985483</v>
      </c>
      <c r="K30" s="23">
        <f t="shared" si="1"/>
        <v>187900.07964073683</v>
      </c>
      <c r="M30" s="108">
        <f>IF(B30&lt;$D$66,1,0)*$E30*('Arnoud VDAB Pensioenopbouw'!$E$19*((100-(($B30-25)*(Blad1!$V$14)))/100))/100</f>
        <v>300</v>
      </c>
      <c r="N30" s="106">
        <f t="shared" si="2"/>
        <v>5100</v>
      </c>
      <c r="O30" s="62">
        <f>M30*((1+'Arnoud VDAB Pensioenopbouw'!$J$19/100)^($D$67-B30))</f>
        <v>649.62707800675764</v>
      </c>
      <c r="P30" s="23">
        <f t="shared" si="3"/>
        <v>13783.812985074048</v>
      </c>
      <c r="Q30" s="39">
        <f>IF(O30&lt;&gt;0,(((J30/'Arnoud VDAB Pensioenopbouw'!$M$15)/O30)*100),"")</f>
        <v>87.947985048842554</v>
      </c>
    </row>
    <row r="31" spans="2:17" ht="15" thickBot="1" x14ac:dyDescent="0.35">
      <c r="B31" s="16">
        <v>42</v>
      </c>
      <c r="C31" s="17">
        <f>IF(Blad2!E25&lt;&gt;"",(C30*(1+(('Arnoud VDAB Pensioenopbouw'!$C$19)/100)))*(1+Blad2!E25/100),C30*(1+(('Arnoud VDAB Pensioenopbouw'!$C$19)/100)))</f>
        <v>30802</v>
      </c>
      <c r="D31" s="17">
        <f>(D30*(1+'Arnoud VDAB Pensioenopbouw'!$G$19/100))</f>
        <v>14802</v>
      </c>
      <c r="E31" s="17">
        <f t="shared" si="0"/>
        <v>16000</v>
      </c>
      <c r="F31" s="18">
        <f>'Arnoud VDAB Pensioenopbouw'!$D$19</f>
        <v>26.25</v>
      </c>
      <c r="G31" s="19">
        <f>IF(B31&lt;$D$66,1,0)*E31*('Arnoud VDAB Pensioenopbouw'!$D$19/100)</f>
        <v>4200</v>
      </c>
      <c r="H31" s="20">
        <f>1+'Arnoud VDAB Pensioenopbouw'!$Q$19/100</f>
        <v>1.0269999999999999</v>
      </c>
      <c r="I31" s="21">
        <f>($B$58-B31-$B$62)+Blad1!$J$79</f>
        <v>27</v>
      </c>
      <c r="J31" s="22">
        <f>G31*((1+'Arnoud VDAB Pensioenopbouw'!$Q$19/100)^I31)</f>
        <v>8622.8586604659668</v>
      </c>
      <c r="K31" s="23">
        <f t="shared" si="1"/>
        <v>196522.93830120281</v>
      </c>
      <c r="M31" s="108">
        <f>IF(B31&lt;$D$66,1,0)*$E31*('Arnoud VDAB Pensioenopbouw'!$E$19*((100-(($B31-25)*(Blad1!$V$14)))/100))/100</f>
        <v>300</v>
      </c>
      <c r="N31" s="106">
        <f t="shared" si="2"/>
        <v>5400</v>
      </c>
      <c r="O31" s="62">
        <f>M31*((1+'Arnoud VDAB Pensioenopbouw'!$J$19/100)^($D$67-B31))</f>
        <v>632.54827459275339</v>
      </c>
      <c r="P31" s="23">
        <f t="shared" si="3"/>
        <v>14416.361259666801</v>
      </c>
      <c r="Q31" s="39">
        <f>IF(O31&lt;&gt;0,(((J31/'Arnoud VDAB Pensioenopbouw'!$M$15)/O31)*100),"")</f>
        <v>87.947985048842554</v>
      </c>
    </row>
    <row r="32" spans="2:17" ht="15" thickBot="1" x14ac:dyDescent="0.35">
      <c r="B32" s="16">
        <v>43</v>
      </c>
      <c r="C32" s="17">
        <f>IF(Blad2!E26&lt;&gt;"",(C31*(1+(('Arnoud VDAB Pensioenopbouw'!$C$19)/100)))*(1+Blad2!E26/100),C31*(1+(('Arnoud VDAB Pensioenopbouw'!$C$19)/100)))</f>
        <v>30802</v>
      </c>
      <c r="D32" s="17">
        <f>(D31*(1+'Arnoud VDAB Pensioenopbouw'!$G$19/100))</f>
        <v>14802</v>
      </c>
      <c r="E32" s="17">
        <f t="shared" si="0"/>
        <v>16000</v>
      </c>
      <c r="F32" s="18">
        <f>'Arnoud VDAB Pensioenopbouw'!$D$19</f>
        <v>26.25</v>
      </c>
      <c r="G32" s="19">
        <f>IF(B32&lt;$D$66,1,0)*E32*('Arnoud VDAB Pensioenopbouw'!$D$19/100)</f>
        <v>4200</v>
      </c>
      <c r="H32" s="20">
        <f>1+'Arnoud VDAB Pensioenopbouw'!$Q$19/100</f>
        <v>1.0269999999999999</v>
      </c>
      <c r="I32" s="21">
        <f>($B$58-B32-$B$62)+Blad1!$J$79</f>
        <v>26</v>
      </c>
      <c r="J32" s="22">
        <f>G32*((1+'Arnoud VDAB Pensioenopbouw'!$Q$19/100)^I32)</f>
        <v>8396.1622789347293</v>
      </c>
      <c r="K32" s="23">
        <f t="shared" si="1"/>
        <v>204919.10058013754</v>
      </c>
      <c r="M32" s="108">
        <f>IF(B32&lt;$D$66,1,0)*$E32*('Arnoud VDAB Pensioenopbouw'!$E$19*((100-(($B32-25)*(Blad1!$V$14)))/100))/100</f>
        <v>300</v>
      </c>
      <c r="N32" s="106">
        <f t="shared" si="2"/>
        <v>5700</v>
      </c>
      <c r="O32" s="62">
        <f>M32*((1+'Arnoud VDAB Pensioenopbouw'!$J$19/100)^($D$67-B32))</f>
        <v>615.918475747569</v>
      </c>
      <c r="P32" s="23">
        <f t="shared" si="3"/>
        <v>15032.279735414369</v>
      </c>
      <c r="Q32" s="39">
        <f>IF(O32&lt;&gt;0,(((J32/'Arnoud VDAB Pensioenopbouw'!$M$15)/O32)*100),"")</f>
        <v>87.947985048842554</v>
      </c>
    </row>
    <row r="33" spans="2:17" ht="15" thickBot="1" x14ac:dyDescent="0.35">
      <c r="B33" s="16">
        <v>44</v>
      </c>
      <c r="C33" s="17">
        <f>IF(Blad2!E27&lt;&gt;"",(C32*(1+(('Arnoud VDAB Pensioenopbouw'!$C$19)/100)))*(1+Blad2!E27/100),C32*(1+(('Arnoud VDAB Pensioenopbouw'!$C$19)/100)))</f>
        <v>30802</v>
      </c>
      <c r="D33" s="17">
        <f>(D32*(1+'Arnoud VDAB Pensioenopbouw'!$G$19/100))</f>
        <v>14802</v>
      </c>
      <c r="E33" s="17">
        <f t="shared" si="0"/>
        <v>16000</v>
      </c>
      <c r="F33" s="18">
        <f>'Arnoud VDAB Pensioenopbouw'!$D$19</f>
        <v>26.25</v>
      </c>
      <c r="G33" s="19">
        <f>IF(B33&lt;$D$66,1,0)*E33*('Arnoud VDAB Pensioenopbouw'!$D$19/100)</f>
        <v>4200</v>
      </c>
      <c r="H33" s="20">
        <f>1+'Arnoud VDAB Pensioenopbouw'!$Q$19/100</f>
        <v>1.0269999999999999</v>
      </c>
      <c r="I33" s="21">
        <f>($B$58-B33-$B$62)+Blad1!$J$79</f>
        <v>25</v>
      </c>
      <c r="J33" s="22">
        <f>G33*((1+'Arnoud VDAB Pensioenopbouw'!$Q$19/100)^I33)</f>
        <v>8175.4257827991523</v>
      </c>
      <c r="K33" s="23">
        <f t="shared" si="1"/>
        <v>213094.52636293668</v>
      </c>
      <c r="M33" s="108">
        <f>IF(B33&lt;$D$66,1,0)*$E33*('Arnoud VDAB Pensioenopbouw'!$E$19*((100-(($B33-25)*(Blad1!$V$14)))/100))/100</f>
        <v>300</v>
      </c>
      <c r="N33" s="106">
        <f t="shared" si="2"/>
        <v>6000</v>
      </c>
      <c r="O33" s="62">
        <f>M33*((1+'Arnoud VDAB Pensioenopbouw'!$J$19/100)^($D$67-B33))</f>
        <v>599.72587706676643</v>
      </c>
      <c r="P33" s="23">
        <f t="shared" si="3"/>
        <v>15632.005612481136</v>
      </c>
      <c r="Q33" s="39">
        <f>IF(O33&lt;&gt;0,(((J33/'Arnoud VDAB Pensioenopbouw'!$M$15)/O33)*100),"")</f>
        <v>87.947985048842554</v>
      </c>
    </row>
    <row r="34" spans="2:17" ht="15" thickBot="1" x14ac:dyDescent="0.35">
      <c r="B34" s="43">
        <v>45</v>
      </c>
      <c r="C34" s="44">
        <f>IF(Blad2!E28&lt;&gt;"",(C33*(1+(('Arnoud VDAB Pensioenopbouw'!$C$19)/100)))*(1+Blad2!E28/100),C33*(1+(('Arnoud VDAB Pensioenopbouw'!$C$19)/100)))</f>
        <v>30802</v>
      </c>
      <c r="D34" s="44">
        <f>(D33*(1+'Arnoud VDAB Pensioenopbouw'!$G$19/100))</f>
        <v>14802</v>
      </c>
      <c r="E34" s="44">
        <f t="shared" si="0"/>
        <v>16000</v>
      </c>
      <c r="F34" s="45">
        <f>'Arnoud VDAB Pensioenopbouw'!$D$19</f>
        <v>26.25</v>
      </c>
      <c r="G34" s="46">
        <f>IF(B34&lt;$D$66,1,0)*E34*('Arnoud VDAB Pensioenopbouw'!$D$19/100)</f>
        <v>4200</v>
      </c>
      <c r="H34" s="47">
        <f>1+'Arnoud VDAB Pensioenopbouw'!$Q$19/100</f>
        <v>1.0269999999999999</v>
      </c>
      <c r="I34" s="48">
        <f>($B$58-B34-$B$62)+Blad1!$J$79</f>
        <v>24</v>
      </c>
      <c r="J34" s="42">
        <f>G34*((1+'Arnoud VDAB Pensioenopbouw'!$Q$19/100)^I34)</f>
        <v>7960.4924856856414</v>
      </c>
      <c r="K34" s="49">
        <f t="shared" si="1"/>
        <v>221055.01884862233</v>
      </c>
      <c r="M34" s="107">
        <f>IF(B34&lt;$D$66,1,0)*$E34*('Arnoud VDAB Pensioenopbouw'!$E$19*((100-(($B34-25)*(Blad1!$V$14)))/100))/100</f>
        <v>300</v>
      </c>
      <c r="N34" s="105">
        <f t="shared" si="2"/>
        <v>6300</v>
      </c>
      <c r="O34" s="52">
        <f>M34*((1+'Arnoud VDAB Pensioenopbouw'!$J$19/100)^($D$67-B34))</f>
        <v>583.95898448565379</v>
      </c>
      <c r="P34" s="49">
        <f t="shared" si="3"/>
        <v>16215.964596966791</v>
      </c>
      <c r="Q34" s="51">
        <f>IF(O34&lt;&gt;0,(((J34/'Arnoud VDAB Pensioenopbouw'!$M$15)/O34)*100),"")</f>
        <v>87.947985048842554</v>
      </c>
    </row>
    <row r="35" spans="2:17" ht="15" thickBot="1" x14ac:dyDescent="0.35">
      <c r="B35" s="16">
        <v>46</v>
      </c>
      <c r="C35" s="17">
        <f>IF(Blad2!E29&lt;&gt;"",(C34*(1+(('Arnoud VDAB Pensioenopbouw'!$C$19)/100)))*(1+Blad2!E29/100),C34*(1+(('Arnoud VDAB Pensioenopbouw'!$C$19)/100)))</f>
        <v>30802</v>
      </c>
      <c r="D35" s="17">
        <f>(D34*(1+'Arnoud VDAB Pensioenopbouw'!$G$19/100))</f>
        <v>14802</v>
      </c>
      <c r="E35" s="17">
        <f t="shared" si="0"/>
        <v>16000</v>
      </c>
      <c r="F35" s="18">
        <f>'Arnoud VDAB Pensioenopbouw'!$D$19</f>
        <v>26.25</v>
      </c>
      <c r="G35" s="19">
        <f>IF(B35&lt;$D$66,1,0)*E35*('Arnoud VDAB Pensioenopbouw'!$D$19/100)</f>
        <v>4200</v>
      </c>
      <c r="H35" s="20">
        <f>1+'Arnoud VDAB Pensioenopbouw'!$Q$19/100</f>
        <v>1.0269999999999999</v>
      </c>
      <c r="I35" s="21">
        <f>($B$58-B35-$B$62)+Blad1!$J$79</f>
        <v>23</v>
      </c>
      <c r="J35" s="22">
        <f>G35*((1+'Arnoud VDAB Pensioenopbouw'!$Q$19/100)^I35)</f>
        <v>7751.2098205312968</v>
      </c>
      <c r="K35" s="23">
        <f t="shared" si="1"/>
        <v>228806.22866915364</v>
      </c>
      <c r="M35" s="108">
        <f>IF(B35&lt;$D$66,1,0)*$E35*('Arnoud VDAB Pensioenopbouw'!$E$19*((100-(($B35-25)*(Blad1!$V$14)))/100))/100</f>
        <v>300</v>
      </c>
      <c r="N35" s="106">
        <f t="shared" si="2"/>
        <v>6600</v>
      </c>
      <c r="O35" s="62">
        <f>M35*((1+'Arnoud VDAB Pensioenopbouw'!$J$19/100)^($D$67-B35))</f>
        <v>568.60660612040294</v>
      </c>
      <c r="P35" s="23">
        <f t="shared" si="3"/>
        <v>16784.571203087195</v>
      </c>
      <c r="Q35" s="39">
        <f>IF(O35&lt;&gt;0,(((J35/'Arnoud VDAB Pensioenopbouw'!$M$15)/O35)*100),"")</f>
        <v>87.947985048842554</v>
      </c>
    </row>
    <row r="36" spans="2:17" ht="15" thickBot="1" x14ac:dyDescent="0.35">
      <c r="B36" s="16">
        <v>47</v>
      </c>
      <c r="C36" s="17">
        <f>IF(Blad2!E30&lt;&gt;"",(C35*(1+(('Arnoud VDAB Pensioenopbouw'!$C$19)/100)))*(1+Blad2!E30/100),C35*(1+(('Arnoud VDAB Pensioenopbouw'!$C$19)/100)))</f>
        <v>30802</v>
      </c>
      <c r="D36" s="17">
        <f>(D35*(1+'Arnoud VDAB Pensioenopbouw'!$G$19/100))</f>
        <v>14802</v>
      </c>
      <c r="E36" s="17">
        <f t="shared" si="0"/>
        <v>16000</v>
      </c>
      <c r="F36" s="18">
        <f>'Arnoud VDAB Pensioenopbouw'!$D$19</f>
        <v>26.25</v>
      </c>
      <c r="G36" s="19">
        <f>IF(B36&lt;$D$66,1,0)*E36*('Arnoud VDAB Pensioenopbouw'!$D$19/100)</f>
        <v>4200</v>
      </c>
      <c r="H36" s="20">
        <f>1+'Arnoud VDAB Pensioenopbouw'!$Q$19/100</f>
        <v>1.0269999999999999</v>
      </c>
      <c r="I36" s="21">
        <f>($B$58-B36-$B$62)+Blad1!$J$79</f>
        <v>22</v>
      </c>
      <c r="J36" s="22">
        <f>G36*((1+'Arnoud VDAB Pensioenopbouw'!$Q$19/100)^I36)</f>
        <v>7547.4292312865609</v>
      </c>
      <c r="K36" s="23">
        <f t="shared" si="1"/>
        <v>236353.65790044022</v>
      </c>
      <c r="M36" s="108">
        <f>IF(B36&lt;$D$66,1,0)*$E36*('Arnoud VDAB Pensioenopbouw'!$E$19*((100-(($B36-25)*(Blad1!$V$14)))/100))/100</f>
        <v>300</v>
      </c>
      <c r="N36" s="106">
        <f t="shared" si="2"/>
        <v>6900</v>
      </c>
      <c r="O36" s="62">
        <f>M36*((1+'Arnoud VDAB Pensioenopbouw'!$J$19/100)^($D$67-B36))</f>
        <v>553.65784432366411</v>
      </c>
      <c r="P36" s="23">
        <f t="shared" si="3"/>
        <v>17338.229047410859</v>
      </c>
      <c r="Q36" s="39">
        <f>IF(O36&lt;&gt;0,(((J36/'Arnoud VDAB Pensioenopbouw'!$M$15)/O36)*100),"")</f>
        <v>87.947985048842554</v>
      </c>
    </row>
    <row r="37" spans="2:17" ht="15" thickBot="1" x14ac:dyDescent="0.35">
      <c r="B37" s="16">
        <v>48</v>
      </c>
      <c r="C37" s="17">
        <f>IF(Blad2!E31&lt;&gt;"",(C36*(1+(('Arnoud VDAB Pensioenopbouw'!$C$19)/100)))*(1+Blad2!E31/100),C36*(1+(('Arnoud VDAB Pensioenopbouw'!$C$19)/100)))</f>
        <v>30802</v>
      </c>
      <c r="D37" s="17">
        <f>(D36*(1+'Arnoud VDAB Pensioenopbouw'!$G$19/100))</f>
        <v>14802</v>
      </c>
      <c r="E37" s="17">
        <f t="shared" si="0"/>
        <v>16000</v>
      </c>
      <c r="F37" s="18">
        <f>'Arnoud VDAB Pensioenopbouw'!$D$19</f>
        <v>26.25</v>
      </c>
      <c r="G37" s="19">
        <f>IF(B37&lt;$D$66,1,0)*E37*('Arnoud VDAB Pensioenopbouw'!$D$19/100)</f>
        <v>4200</v>
      </c>
      <c r="H37" s="20">
        <f>1+'Arnoud VDAB Pensioenopbouw'!$Q$19/100</f>
        <v>1.0269999999999999</v>
      </c>
      <c r="I37" s="21">
        <f>($B$58-B37-$B$62)+Blad1!$J$79</f>
        <v>21</v>
      </c>
      <c r="J37" s="22">
        <f>G37*((1+'Arnoud VDAB Pensioenopbouw'!$Q$19/100)^I37)</f>
        <v>7349.0060674650067</v>
      </c>
      <c r="K37" s="23">
        <f t="shared" si="1"/>
        <v>243702.66396790522</v>
      </c>
      <c r="M37" s="108">
        <f>IF(B37&lt;$D$66,1,0)*$E37*('Arnoud VDAB Pensioenopbouw'!$E$19*((100-(($B37-25)*(Blad1!$V$14)))/100))/100</f>
        <v>300</v>
      </c>
      <c r="N37" s="106">
        <f t="shared" si="2"/>
        <v>7200</v>
      </c>
      <c r="O37" s="62">
        <f>M37*((1+'Arnoud VDAB Pensioenopbouw'!$J$19/100)^($D$67-B37))</f>
        <v>539.10208794904008</v>
      </c>
      <c r="P37" s="23">
        <f t="shared" si="3"/>
        <v>17877.331135359898</v>
      </c>
      <c r="Q37" s="39">
        <f>IF(O37&lt;&gt;0,(((J37/'Arnoud VDAB Pensioenopbouw'!$M$15)/O37)*100),"")</f>
        <v>87.947985048842554</v>
      </c>
    </row>
    <row r="38" spans="2:17" ht="15" thickBot="1" x14ac:dyDescent="0.35">
      <c r="B38" s="16">
        <v>49</v>
      </c>
      <c r="C38" s="17">
        <f>IF(Blad2!E32&lt;&gt;"",(C37*(1+(('Arnoud VDAB Pensioenopbouw'!$C$19)/100)))*(1+Blad2!E32/100),C37*(1+(('Arnoud VDAB Pensioenopbouw'!$C$19)/100)))</f>
        <v>30802</v>
      </c>
      <c r="D38" s="17">
        <f>(D37*(1+'Arnoud VDAB Pensioenopbouw'!$G$19/100))</f>
        <v>14802</v>
      </c>
      <c r="E38" s="17">
        <f t="shared" si="0"/>
        <v>16000</v>
      </c>
      <c r="F38" s="18">
        <f>'Arnoud VDAB Pensioenopbouw'!$D$19</f>
        <v>26.25</v>
      </c>
      <c r="G38" s="19">
        <f>IF(B38&lt;$D$66,1,0)*E38*('Arnoud VDAB Pensioenopbouw'!$D$19/100)</f>
        <v>4200</v>
      </c>
      <c r="H38" s="20">
        <f>1+'Arnoud VDAB Pensioenopbouw'!$Q$19/100</f>
        <v>1.0269999999999999</v>
      </c>
      <c r="I38" s="21">
        <f>($B$58-B38-$B$62)+Blad1!$J$79</f>
        <v>20</v>
      </c>
      <c r="J38" s="22">
        <f>G38*((1+'Arnoud VDAB Pensioenopbouw'!$Q$19/100)^I38)</f>
        <v>7155.7994814654403</v>
      </c>
      <c r="K38" s="23">
        <f t="shared" si="1"/>
        <v>250858.46344937067</v>
      </c>
      <c r="M38" s="108">
        <f>IF(B38&lt;$D$66,1,0)*$E38*('Arnoud VDAB Pensioenopbouw'!$E$19*((100-(($B38-25)*(Blad1!$V$14)))/100))/100</f>
        <v>300</v>
      </c>
      <c r="N38" s="106">
        <f t="shared" si="2"/>
        <v>7500</v>
      </c>
      <c r="O38" s="62">
        <f>M38*((1+'Arnoud VDAB Pensioenopbouw'!$J$19/100)^($D$67-B38))</f>
        <v>524.929004818929</v>
      </c>
      <c r="P38" s="23">
        <f t="shared" si="3"/>
        <v>18402.260140178827</v>
      </c>
      <c r="Q38" s="39">
        <f>IF(O38&lt;&gt;0,(((J38/'Arnoud VDAB Pensioenopbouw'!$M$15)/O38)*100),"")</f>
        <v>87.947985048842554</v>
      </c>
    </row>
    <row r="39" spans="2:17" ht="15" thickBot="1" x14ac:dyDescent="0.35">
      <c r="B39" s="16">
        <v>50</v>
      </c>
      <c r="C39" s="17">
        <f>IF(Blad2!E33&lt;&gt;"",(C38*(1+(('Arnoud VDAB Pensioenopbouw'!$C$19)/100)))*(1+Blad2!E33/100),C38*(1+(('Arnoud VDAB Pensioenopbouw'!$C$19)/100)))</f>
        <v>30802</v>
      </c>
      <c r="D39" s="17">
        <f>(D38*(1+'Arnoud VDAB Pensioenopbouw'!$G$19/100))</f>
        <v>14802</v>
      </c>
      <c r="E39" s="17">
        <f t="shared" si="0"/>
        <v>16000</v>
      </c>
      <c r="F39" s="18">
        <f>'Arnoud VDAB Pensioenopbouw'!$D$19</f>
        <v>26.25</v>
      </c>
      <c r="G39" s="19">
        <f>IF(B39&lt;$D$66,1,0)*E39*('Arnoud VDAB Pensioenopbouw'!$D$19/100)</f>
        <v>4200</v>
      </c>
      <c r="H39" s="20">
        <f>1+'Arnoud VDAB Pensioenopbouw'!$Q$19/100</f>
        <v>1.0269999999999999</v>
      </c>
      <c r="I39" s="21">
        <f>($B$58-B39-$B$62)+Blad1!$J$79</f>
        <v>19</v>
      </c>
      <c r="J39" s="22">
        <f>G39*((1+'Arnoud VDAB Pensioenopbouw'!$Q$19/100)^I39)</f>
        <v>6967.6723285934195</v>
      </c>
      <c r="K39" s="23">
        <f t="shared" si="1"/>
        <v>257826.13577796408</v>
      </c>
      <c r="M39" s="108">
        <f>IF(B39&lt;$D$66,1,0)*$E39*('Arnoud VDAB Pensioenopbouw'!$E$19*((100-(($B39-25)*(Blad1!$V$14)))/100))/100</f>
        <v>300</v>
      </c>
      <c r="N39" s="106">
        <f t="shared" si="2"/>
        <v>7800</v>
      </c>
      <c r="O39" s="62">
        <f>M39*((1+'Arnoud VDAB Pensioenopbouw'!$J$19/100)^($D$67-B39))</f>
        <v>511.12853439038861</v>
      </c>
      <c r="P39" s="23">
        <f t="shared" si="3"/>
        <v>18913.388674569214</v>
      </c>
      <c r="Q39" s="39">
        <f>IF(O39&lt;&gt;0,(((J39/'Arnoud VDAB Pensioenopbouw'!$M$15)/O39)*100),"")</f>
        <v>87.947985048842554</v>
      </c>
    </row>
    <row r="40" spans="2:17" ht="15" thickBot="1" x14ac:dyDescent="0.35">
      <c r="B40" s="16">
        <v>51</v>
      </c>
      <c r="C40" s="17">
        <f>IF(Blad2!E34&lt;&gt;"",(C39*(1+(('Arnoud VDAB Pensioenopbouw'!$C$19)/100)))*(1+Blad2!E34/100),C39*(1+(('Arnoud VDAB Pensioenopbouw'!$C$19)/100)))</f>
        <v>30802</v>
      </c>
      <c r="D40" s="17">
        <f>(D39*(1+'Arnoud VDAB Pensioenopbouw'!$G$19/100))</f>
        <v>14802</v>
      </c>
      <c r="E40" s="17">
        <f t="shared" si="0"/>
        <v>16000</v>
      </c>
      <c r="F40" s="18">
        <f>'Arnoud VDAB Pensioenopbouw'!$D$19</f>
        <v>26.25</v>
      </c>
      <c r="G40" s="19">
        <f>IF(B40&lt;$D$66,1,0)*E40*('Arnoud VDAB Pensioenopbouw'!$D$19/100)</f>
        <v>4200</v>
      </c>
      <c r="H40" s="20">
        <f>1+'Arnoud VDAB Pensioenopbouw'!$Q$19/100</f>
        <v>1.0269999999999999</v>
      </c>
      <c r="I40" s="21">
        <f>($B$58-B40-$B$62)+Blad1!$J$79</f>
        <v>18</v>
      </c>
      <c r="J40" s="22">
        <f>G40*((1+'Arnoud VDAB Pensioenopbouw'!$Q$19/100)^I40)</f>
        <v>6784.4910697112164</v>
      </c>
      <c r="K40" s="23">
        <f t="shared" si="1"/>
        <v>264610.6268476753</v>
      </c>
      <c r="M40" s="108">
        <f>IF(B40&lt;$D$66,1,0)*$E40*('Arnoud VDAB Pensioenopbouw'!$E$19*((100-(($B40-25)*(Blad1!$V$14)))/100))/100</f>
        <v>300</v>
      </c>
      <c r="N40" s="106">
        <f t="shared" si="2"/>
        <v>8100</v>
      </c>
      <c r="O40" s="62">
        <f>M40*((1+'Arnoud VDAB Pensioenopbouw'!$J$19/100)^($D$67-B40))</f>
        <v>497.69088061381569</v>
      </c>
      <c r="P40" s="23">
        <f t="shared" si="3"/>
        <v>19411.079555183031</v>
      </c>
      <c r="Q40" s="39">
        <f>IF(O40&lt;&gt;0,(((J40/'Arnoud VDAB Pensioenopbouw'!$M$15)/O40)*100),"")</f>
        <v>87.94798504884254</v>
      </c>
    </row>
    <row r="41" spans="2:17" ht="15" thickBot="1" x14ac:dyDescent="0.35">
      <c r="B41" s="16">
        <v>52</v>
      </c>
      <c r="C41" s="17">
        <f>IF(Blad2!E35&lt;&gt;"",(C40*(1+(('Arnoud VDAB Pensioenopbouw'!$C$19)/100)))*(1+Blad2!E35/100),C40*(1+(('Arnoud VDAB Pensioenopbouw'!$C$19)/100)))</f>
        <v>30802</v>
      </c>
      <c r="D41" s="17">
        <f>(D40*(1+'Arnoud VDAB Pensioenopbouw'!$G$19/100))</f>
        <v>14802</v>
      </c>
      <c r="E41" s="17">
        <f t="shared" si="0"/>
        <v>16000</v>
      </c>
      <c r="F41" s="18">
        <f>'Arnoud VDAB Pensioenopbouw'!$D$19</f>
        <v>26.25</v>
      </c>
      <c r="G41" s="19">
        <f>IF(B41&lt;$D$66,1,0)*E41*('Arnoud VDAB Pensioenopbouw'!$D$19/100)</f>
        <v>4200</v>
      </c>
      <c r="H41" s="20">
        <f>1+'Arnoud VDAB Pensioenopbouw'!$Q$19/100</f>
        <v>1.0269999999999999</v>
      </c>
      <c r="I41" s="21">
        <f>($B$58-B41-$B$62)+Blad1!$J$79</f>
        <v>17</v>
      </c>
      <c r="J41" s="22">
        <f>G41*((1+'Arnoud VDAB Pensioenopbouw'!$Q$19/100)^I41)</f>
        <v>6606.1256764471436</v>
      </c>
      <c r="K41" s="23">
        <f t="shared" si="1"/>
        <v>271216.75252412242</v>
      </c>
      <c r="M41" s="108">
        <f>IF(B41&lt;$D$66,1,0)*$E41*('Arnoud VDAB Pensioenopbouw'!$E$19*((100-(($B41-25)*(Blad1!$V$14)))/100))/100</f>
        <v>300</v>
      </c>
      <c r="N41" s="106">
        <f t="shared" si="2"/>
        <v>8400</v>
      </c>
      <c r="O41" s="62">
        <f>M41*((1+'Arnoud VDAB Pensioenopbouw'!$J$19/100)^($D$67-B41))</f>
        <v>484.60650497937263</v>
      </c>
      <c r="P41" s="23">
        <f t="shared" si="3"/>
        <v>19895.686060162403</v>
      </c>
      <c r="Q41" s="39">
        <f>IF(O41&lt;&gt;0,(((J41/'Arnoud VDAB Pensioenopbouw'!$M$15)/O41)*100),"")</f>
        <v>87.94798504884254</v>
      </c>
    </row>
    <row r="42" spans="2:17" ht="15" thickBot="1" x14ac:dyDescent="0.35">
      <c r="B42" s="16">
        <v>53</v>
      </c>
      <c r="C42" s="17">
        <f>IF(Blad2!E36&lt;&gt;"",(C41*(1+(('Arnoud VDAB Pensioenopbouw'!$C$19)/100)))*(1+Blad2!E36/100),C41*(1+(('Arnoud VDAB Pensioenopbouw'!$C$19)/100)))</f>
        <v>30802</v>
      </c>
      <c r="D42" s="17">
        <f>(D41*(1+'Arnoud VDAB Pensioenopbouw'!$G$19/100))</f>
        <v>14802</v>
      </c>
      <c r="E42" s="17">
        <f t="shared" si="0"/>
        <v>16000</v>
      </c>
      <c r="F42" s="18">
        <f>'Arnoud VDAB Pensioenopbouw'!$D$19</f>
        <v>26.25</v>
      </c>
      <c r="G42" s="19">
        <f>IF(B42&lt;$D$66,1,0)*E42*('Arnoud VDAB Pensioenopbouw'!$D$19/100)</f>
        <v>4200</v>
      </c>
      <c r="H42" s="20">
        <f>1+'Arnoud VDAB Pensioenopbouw'!$Q$19/100</f>
        <v>1.0269999999999999</v>
      </c>
      <c r="I42" s="21">
        <f>($B$58-B42-$B$62)+Blad1!$J$79</f>
        <v>16</v>
      </c>
      <c r="J42" s="22">
        <f>G42*((1+'Arnoud VDAB Pensioenopbouw'!$Q$19/100)^I42)</f>
        <v>6432.4495388969281</v>
      </c>
      <c r="K42" s="23">
        <f t="shared" si="1"/>
        <v>277649.20206301933</v>
      </c>
      <c r="M42" s="108">
        <f>IF(B42&lt;$D$66,1,0)*$E42*('Arnoud VDAB Pensioenopbouw'!$E$19*((100-(($B42-25)*(Blad1!$V$14)))/100))/100</f>
        <v>300</v>
      </c>
      <c r="N42" s="106">
        <f t="shared" si="2"/>
        <v>8700</v>
      </c>
      <c r="O42" s="62">
        <f>M42*((1+'Arnoud VDAB Pensioenopbouw'!$J$19/100)^($D$67-B42))</f>
        <v>471.86611974622457</v>
      </c>
      <c r="P42" s="23">
        <f t="shared" si="3"/>
        <v>20367.552179908627</v>
      </c>
      <c r="Q42" s="39">
        <f>IF(O42&lt;&gt;0,(((J42/'Arnoud VDAB Pensioenopbouw'!$M$15)/O42)*100),"")</f>
        <v>87.947985048842554</v>
      </c>
    </row>
    <row r="43" spans="2:17" ht="15" thickBot="1" x14ac:dyDescent="0.35">
      <c r="B43" s="16">
        <v>54</v>
      </c>
      <c r="C43" s="17">
        <f>IF(Blad2!E37&lt;&gt;"",(C42*(1+(('Arnoud VDAB Pensioenopbouw'!$C$19)/100)))*(1+Blad2!E37/100),C42*(1+(('Arnoud VDAB Pensioenopbouw'!$C$19)/100)))</f>
        <v>30802</v>
      </c>
      <c r="D43" s="17">
        <f>(D42*(1+'Arnoud VDAB Pensioenopbouw'!$G$19/100))</f>
        <v>14802</v>
      </c>
      <c r="E43" s="17">
        <f t="shared" si="0"/>
        <v>16000</v>
      </c>
      <c r="F43" s="18">
        <f>'Arnoud VDAB Pensioenopbouw'!$D$19</f>
        <v>26.25</v>
      </c>
      <c r="G43" s="19">
        <f>IF(B43&lt;$D$66,1,0)*E43*('Arnoud VDAB Pensioenopbouw'!$D$19/100)</f>
        <v>4200</v>
      </c>
      <c r="H43" s="20">
        <f>1+'Arnoud VDAB Pensioenopbouw'!$Q$19/100</f>
        <v>1.0269999999999999</v>
      </c>
      <c r="I43" s="21">
        <f>($B$58-B43-$B$62)+Blad1!$J$79</f>
        <v>15</v>
      </c>
      <c r="J43" s="22">
        <f>G43*((1+'Arnoud VDAB Pensioenopbouw'!$Q$19/100)^I43)</f>
        <v>6263.3393757516351</v>
      </c>
      <c r="K43" s="23">
        <f t="shared" si="1"/>
        <v>283912.54143877095</v>
      </c>
      <c r="M43" s="108">
        <f>IF(B43&lt;$D$66,1,0)*$E43*('Arnoud VDAB Pensioenopbouw'!$E$19*((100-(($B43-25)*(Blad1!$V$14)))/100))/100</f>
        <v>300</v>
      </c>
      <c r="N43" s="106">
        <f t="shared" si="2"/>
        <v>9000</v>
      </c>
      <c r="O43" s="62">
        <f>M43*((1+'Arnoud VDAB Pensioenopbouw'!$J$19/100)^($D$67-B43))</f>
        <v>459.46068134978054</v>
      </c>
      <c r="P43" s="23">
        <f t="shared" si="3"/>
        <v>20827.012861258409</v>
      </c>
      <c r="Q43" s="39">
        <f>IF(O43&lt;&gt;0,(((J43/'Arnoud VDAB Pensioenopbouw'!$M$15)/O43)*100),"")</f>
        <v>87.947985048842554</v>
      </c>
    </row>
    <row r="44" spans="2:17" ht="15" thickBot="1" x14ac:dyDescent="0.35">
      <c r="B44" s="43">
        <v>55</v>
      </c>
      <c r="C44" s="44">
        <f>IF(Blad2!E38&lt;&gt;"",(C43*(1+(('Arnoud VDAB Pensioenopbouw'!$C$19)/100)))*(1+Blad2!E38/100),C43*(1+(('Arnoud VDAB Pensioenopbouw'!$C$19)/100)))</f>
        <v>30802</v>
      </c>
      <c r="D44" s="44">
        <f>(D43*(1+'Arnoud VDAB Pensioenopbouw'!$G$19/100))</f>
        <v>14802</v>
      </c>
      <c r="E44" s="44">
        <f t="shared" si="0"/>
        <v>16000</v>
      </c>
      <c r="F44" s="45">
        <f>'Arnoud VDAB Pensioenopbouw'!$D$19</f>
        <v>26.25</v>
      </c>
      <c r="G44" s="46">
        <f>IF(B44&lt;$D$66,1,0)*E44*('Arnoud VDAB Pensioenopbouw'!$D$19/100)</f>
        <v>4200</v>
      </c>
      <c r="H44" s="47">
        <f>1+'Arnoud VDAB Pensioenopbouw'!$Q$19/100</f>
        <v>1.0269999999999999</v>
      </c>
      <c r="I44" s="48">
        <f>($B$58-B44-$B$62)+Blad1!$J$79</f>
        <v>14</v>
      </c>
      <c r="J44" s="42">
        <f>G44*((1+'Arnoud VDAB Pensioenopbouw'!$Q$19/100)^I44)</f>
        <v>6098.6751467883496</v>
      </c>
      <c r="K44" s="49">
        <f t="shared" si="1"/>
        <v>290011.2165855593</v>
      </c>
      <c r="M44" s="107">
        <f>IF(B44&lt;$D$66,1,0)*$E44*('Arnoud VDAB Pensioenopbouw'!$E$19*((100-(($B44-25)*(Blad1!$V$14)))/100))/100</f>
        <v>300</v>
      </c>
      <c r="N44" s="105">
        <f t="shared" si="2"/>
        <v>9300</v>
      </c>
      <c r="O44" s="52">
        <f>M44*((1+'Arnoud VDAB Pensioenopbouw'!$J$19/100)^($D$67-B44))</f>
        <v>447.38138398225959</v>
      </c>
      <c r="P44" s="49">
        <f t="shared" si="3"/>
        <v>21274.394245240666</v>
      </c>
      <c r="Q44" s="51">
        <f>IF(O44&lt;&gt;0,(((J44/'Arnoud VDAB Pensioenopbouw'!$M$15)/O44)*100),"")</f>
        <v>87.947985048842554</v>
      </c>
    </row>
    <row r="45" spans="2:17" ht="15" thickBot="1" x14ac:dyDescent="0.35">
      <c r="B45" s="16">
        <v>56</v>
      </c>
      <c r="C45" s="17">
        <f>IF(Blad2!E39&lt;&gt;"",(C44*(1+(('Arnoud VDAB Pensioenopbouw'!$C$19)/100)))*(1+Blad2!E39/100),C44*(1+(('Arnoud VDAB Pensioenopbouw'!$C$19)/100)))</f>
        <v>30802</v>
      </c>
      <c r="D45" s="17">
        <f>(D44*(1+'Arnoud VDAB Pensioenopbouw'!$G$19/100))</f>
        <v>14802</v>
      </c>
      <c r="E45" s="17">
        <f t="shared" si="0"/>
        <v>16000</v>
      </c>
      <c r="F45" s="18">
        <f>'Arnoud VDAB Pensioenopbouw'!$D$19</f>
        <v>26.25</v>
      </c>
      <c r="G45" s="19">
        <f>IF(B45&lt;$D$66,1,0)*E45*('Arnoud VDAB Pensioenopbouw'!$D$19/100)</f>
        <v>4200</v>
      </c>
      <c r="H45" s="20">
        <f>1+'Arnoud VDAB Pensioenopbouw'!$Q$19/100</f>
        <v>1.0269999999999999</v>
      </c>
      <c r="I45" s="21">
        <f>($B$58-B45-$B$62)+Blad1!$J$79</f>
        <v>13</v>
      </c>
      <c r="J45" s="22">
        <f>G45*((1+'Arnoud VDAB Pensioenopbouw'!$Q$19/100)^I45)</f>
        <v>5938.3399676614899</v>
      </c>
      <c r="K45" s="23">
        <f t="shared" si="1"/>
        <v>295949.55655322078</v>
      </c>
      <c r="M45" s="108">
        <f>IF(B45&lt;$D$66,1,0)*$E45*('Arnoud VDAB Pensioenopbouw'!$E$19*((100-(($B45-25)*(Blad1!$V$14)))/100))/100</f>
        <v>300</v>
      </c>
      <c r="N45" s="106">
        <f t="shared" si="2"/>
        <v>9600</v>
      </c>
      <c r="O45" s="62">
        <f>M45*((1+'Arnoud VDAB Pensioenopbouw'!$J$19/100)^($D$67-B45))</f>
        <v>435.619653342025</v>
      </c>
      <c r="P45" s="23">
        <f t="shared" si="3"/>
        <v>21710.013898582692</v>
      </c>
      <c r="Q45" s="39">
        <f>IF(O45&lt;&gt;0,(((J45/'Arnoud VDAB Pensioenopbouw'!$M$15)/O45)*100),"")</f>
        <v>87.947985048842554</v>
      </c>
    </row>
    <row r="46" spans="2:17" ht="15" thickBot="1" x14ac:dyDescent="0.35">
      <c r="B46" s="16">
        <v>57</v>
      </c>
      <c r="C46" s="17">
        <f>IF(Blad2!E40&lt;&gt;"",(C45*(1+(('Arnoud VDAB Pensioenopbouw'!$C$19)/100)))*(1+Blad2!E40/100),C45*(1+(('Arnoud VDAB Pensioenopbouw'!$C$19)/100)))</f>
        <v>30802</v>
      </c>
      <c r="D46" s="17">
        <f>(D45*(1+'Arnoud VDAB Pensioenopbouw'!$G$19/100))</f>
        <v>14802</v>
      </c>
      <c r="E46" s="17">
        <f t="shared" si="0"/>
        <v>16000</v>
      </c>
      <c r="F46" s="18">
        <f>'Arnoud VDAB Pensioenopbouw'!$D$19</f>
        <v>26.25</v>
      </c>
      <c r="G46" s="19">
        <f>IF(B46&lt;$D$66,1,0)*E46*('Arnoud VDAB Pensioenopbouw'!$D$19/100)</f>
        <v>4200</v>
      </c>
      <c r="H46" s="20">
        <f>1+'Arnoud VDAB Pensioenopbouw'!$Q$19/100</f>
        <v>1.0269999999999999</v>
      </c>
      <c r="I46" s="21">
        <f>($B$58-B46-$B$62)+Blad1!$J$79</f>
        <v>12</v>
      </c>
      <c r="J46" s="22">
        <f>G46*((1+'Arnoud VDAB Pensioenopbouw'!$Q$19/100)^I46)</f>
        <v>5782.2200269342657</v>
      </c>
      <c r="K46" s="23">
        <f t="shared" si="1"/>
        <v>301731.77658015507</v>
      </c>
      <c r="M46" s="108">
        <f>IF(B46&lt;$D$66,1,0)*$E46*('Arnoud VDAB Pensioenopbouw'!$E$19*((100-(($B46-25)*(Blad1!$V$14)))/100))/100</f>
        <v>300</v>
      </c>
      <c r="N46" s="106">
        <f t="shared" si="2"/>
        <v>9900</v>
      </c>
      <c r="O46" s="62">
        <f>M46*((1+'Arnoud VDAB Pensioenopbouw'!$J$19/100)^($D$67-B46))</f>
        <v>424.16714054724929</v>
      </c>
      <c r="P46" s="23">
        <f t="shared" si="3"/>
        <v>22134.18103912994</v>
      </c>
      <c r="Q46" s="39">
        <f>IF(O46&lt;&gt;0,(((J46/'Arnoud VDAB Pensioenopbouw'!$M$15)/O46)*100),"")</f>
        <v>87.947985048842554</v>
      </c>
    </row>
    <row r="47" spans="2:17" ht="15" thickBot="1" x14ac:dyDescent="0.35">
      <c r="B47" s="16">
        <v>58</v>
      </c>
      <c r="C47" s="17">
        <f>IF(Blad2!E41&lt;&gt;"",(C46*(1+(('Arnoud VDAB Pensioenopbouw'!$C$19)/100)))*(1+Blad2!E41/100),C46*(1+(('Arnoud VDAB Pensioenopbouw'!$C$19)/100)))</f>
        <v>30802</v>
      </c>
      <c r="D47" s="17">
        <f>(D46*(1+'Arnoud VDAB Pensioenopbouw'!$G$19/100))</f>
        <v>14802</v>
      </c>
      <c r="E47" s="17">
        <f t="shared" si="0"/>
        <v>16000</v>
      </c>
      <c r="F47" s="18">
        <f>'Arnoud VDAB Pensioenopbouw'!$D$19</f>
        <v>26.25</v>
      </c>
      <c r="G47" s="19">
        <f>IF(B47&lt;$D$66,1,0)*E47*('Arnoud VDAB Pensioenopbouw'!$D$19/100)</f>
        <v>4200</v>
      </c>
      <c r="H47" s="20">
        <f>1+'Arnoud VDAB Pensioenopbouw'!$Q$19/100</f>
        <v>1.0269999999999999</v>
      </c>
      <c r="I47" s="21">
        <f>($B$58-B47-$B$62)+Blad1!$J$79</f>
        <v>11</v>
      </c>
      <c r="J47" s="22">
        <f>G47*((1+'Arnoud VDAB Pensioenopbouw'!$Q$19/100)^I47)</f>
        <v>5630.2045052913982</v>
      </c>
      <c r="K47" s="23">
        <f t="shared" si="1"/>
        <v>307361.98108544649</v>
      </c>
      <c r="M47" s="108">
        <f>IF(B47&lt;$D$66,1,0)*$E47*('Arnoud VDAB Pensioenopbouw'!$E$19*((100-(($B47-25)*(Blad1!$V$14)))/100))/100</f>
        <v>300</v>
      </c>
      <c r="N47" s="106">
        <f t="shared" si="2"/>
        <v>10200</v>
      </c>
      <c r="O47" s="62">
        <f>M47*((1+'Arnoud VDAB Pensioenopbouw'!$J$19/100)^($D$67-B47))</f>
        <v>413.01571620959044</v>
      </c>
      <c r="P47" s="23">
        <f t="shared" si="3"/>
        <v>22547.19675533953</v>
      </c>
      <c r="Q47" s="39">
        <f>IF(O47&lt;&gt;0,(((J47/'Arnoud VDAB Pensioenopbouw'!$M$15)/O47)*100),"")</f>
        <v>87.94798504884254</v>
      </c>
    </row>
    <row r="48" spans="2:17" ht="15" thickBot="1" x14ac:dyDescent="0.35">
      <c r="B48" s="16">
        <v>59</v>
      </c>
      <c r="C48" s="17">
        <f>IF(Blad2!E42&lt;&gt;"",(C47*(1+(('Arnoud VDAB Pensioenopbouw'!$C$19)/100)))*(1+Blad2!E42/100),C47*(1+(('Arnoud VDAB Pensioenopbouw'!$C$19)/100)))</f>
        <v>30802</v>
      </c>
      <c r="D48" s="17">
        <f>(D47*(1+'Arnoud VDAB Pensioenopbouw'!$G$19/100))</f>
        <v>14802</v>
      </c>
      <c r="E48" s="17">
        <f t="shared" si="0"/>
        <v>16000</v>
      </c>
      <c r="F48" s="18">
        <f>'Arnoud VDAB Pensioenopbouw'!$D$19</f>
        <v>26.25</v>
      </c>
      <c r="G48" s="19">
        <f>IF(B48&lt;$D$66,1,0)*E48*('Arnoud VDAB Pensioenopbouw'!$D$19/100)</f>
        <v>4200</v>
      </c>
      <c r="H48" s="20">
        <f>1+'Arnoud VDAB Pensioenopbouw'!$Q$19/100</f>
        <v>1.0269999999999999</v>
      </c>
      <c r="I48" s="21">
        <f>($B$58-B48-$B$62)+Blad1!$J$79</f>
        <v>10</v>
      </c>
      <c r="J48" s="22">
        <f>G48*((1+'Arnoud VDAB Pensioenopbouw'!$Q$19/100)^I48)</f>
        <v>5482.1854968757534</v>
      </c>
      <c r="K48" s="23">
        <f t="shared" si="1"/>
        <v>312844.16658232221</v>
      </c>
      <c r="M48" s="108">
        <f>IF(B48&lt;$D$66,1,0)*$E48*('Arnoud VDAB Pensioenopbouw'!$E$19*((100-(($B48-25)*(Blad1!$V$14)))/100))/100</f>
        <v>300</v>
      </c>
      <c r="N48" s="106">
        <f t="shared" si="2"/>
        <v>10500</v>
      </c>
      <c r="O48" s="62">
        <f>M48*((1+'Arnoud VDAB Pensioenopbouw'!$J$19/100)^($D$67-B48))</f>
        <v>402.15746466367131</v>
      </c>
      <c r="P48" s="23">
        <f t="shared" si="3"/>
        <v>22949.354220003202</v>
      </c>
      <c r="Q48" s="39">
        <f>IF(O48&lt;&gt;0,(((J48/'Arnoud VDAB Pensioenopbouw'!$M$15)/O48)*100),"")</f>
        <v>87.947985048842554</v>
      </c>
    </row>
    <row r="49" spans="2:17" ht="15" thickBot="1" x14ac:dyDescent="0.35">
      <c r="B49" s="16">
        <v>60</v>
      </c>
      <c r="C49" s="17">
        <f>IF(Blad2!E43&lt;&gt;"",(C48*(1+(('Arnoud VDAB Pensioenopbouw'!$C$19)/100)))*(1+Blad2!E43/100),C48*(1+(('Arnoud VDAB Pensioenopbouw'!$C$19)/100)))</f>
        <v>30802</v>
      </c>
      <c r="D49" s="17">
        <f>(D48*(1+'Arnoud VDAB Pensioenopbouw'!$G$19/100))</f>
        <v>14802</v>
      </c>
      <c r="E49" s="17">
        <f t="shared" si="0"/>
        <v>16000</v>
      </c>
      <c r="F49" s="18">
        <f>'Arnoud VDAB Pensioenopbouw'!$D$19</f>
        <v>26.25</v>
      </c>
      <c r="G49" s="19">
        <f>IF(B49&lt;$D$66,1,0)*E49*('Arnoud VDAB Pensioenopbouw'!$D$19/100)</f>
        <v>4200</v>
      </c>
      <c r="H49" s="20">
        <f>1+'Arnoud VDAB Pensioenopbouw'!$Q$19/100</f>
        <v>1.0269999999999999</v>
      </c>
      <c r="I49" s="21">
        <f>($B$58-B49-$B$62)+Blad1!$J$79</f>
        <v>9</v>
      </c>
      <c r="J49" s="22">
        <f>G49*((1+'Arnoud VDAB Pensioenopbouw'!$Q$19/100)^I49)</f>
        <v>5338.057932693041</v>
      </c>
      <c r="K49" s="23">
        <f t="shared" si="1"/>
        <v>318182.22451501526</v>
      </c>
      <c r="M49" s="108">
        <f>IF(B49&lt;$D$66,1,0)*$E49*('Arnoud VDAB Pensioenopbouw'!$E$19*((100-(($B49-25)*(Blad1!$V$14)))/100))/100</f>
        <v>300</v>
      </c>
      <c r="N49" s="106">
        <f t="shared" si="2"/>
        <v>10800</v>
      </c>
      <c r="O49" s="62">
        <f>M49*((1+'Arnoud VDAB Pensioenopbouw'!$J$19/100)^($D$67-B49))</f>
        <v>391.58467834826808</v>
      </c>
      <c r="P49" s="23">
        <f t="shared" si="3"/>
        <v>23340.938898351469</v>
      </c>
      <c r="Q49" s="39">
        <f>IF(O49&lt;&gt;0,(((J49/'Arnoud VDAB Pensioenopbouw'!$M$15)/O49)*100),"")</f>
        <v>87.947985048842554</v>
      </c>
    </row>
    <row r="50" spans="2:17" ht="15" thickBot="1" x14ac:dyDescent="0.35">
      <c r="B50" s="16">
        <v>61</v>
      </c>
      <c r="C50" s="17">
        <f>IF(Blad2!E44&lt;&gt;"",(C49*(1+(('Arnoud VDAB Pensioenopbouw'!$C$19)/100)))*(1+Blad2!E44/100),C49*(1+(('Arnoud VDAB Pensioenopbouw'!$C$19)/100)))</f>
        <v>30802</v>
      </c>
      <c r="D50" s="17">
        <f>(D49*(1+'Arnoud VDAB Pensioenopbouw'!$G$19/100))</f>
        <v>14802</v>
      </c>
      <c r="E50" s="17">
        <f t="shared" si="0"/>
        <v>16000</v>
      </c>
      <c r="F50" s="18">
        <f>'Arnoud VDAB Pensioenopbouw'!$D$19</f>
        <v>26.25</v>
      </c>
      <c r="G50" s="19">
        <f>IF(B50&lt;$D$66,1,0)*E50*('Arnoud VDAB Pensioenopbouw'!$D$19/100)</f>
        <v>4200</v>
      </c>
      <c r="H50" s="20">
        <f>1+'Arnoud VDAB Pensioenopbouw'!$Q$19/100</f>
        <v>1.0269999999999999</v>
      </c>
      <c r="I50" s="21">
        <f>($B$58-B50-$B$62)+Blad1!$J$79</f>
        <v>8</v>
      </c>
      <c r="J50" s="22">
        <f>G50*((1+'Arnoud VDAB Pensioenopbouw'!$Q$19/100)^I50)</f>
        <v>5197.7195060302265</v>
      </c>
      <c r="K50" s="23">
        <f t="shared" si="1"/>
        <v>323379.94402104546</v>
      </c>
      <c r="M50" s="108">
        <f>IF(B50&lt;$D$66,1,0)*$E50*('Arnoud VDAB Pensioenopbouw'!$E$19*((100-(($B50-25)*(Blad1!$V$14)))/100))/100</f>
        <v>300</v>
      </c>
      <c r="N50" s="106">
        <f t="shared" si="2"/>
        <v>11100</v>
      </c>
      <c r="O50" s="62">
        <f>M50*((1+'Arnoud VDAB Pensioenopbouw'!$J$19/100)^($D$67-B50))</f>
        <v>381.28985233521723</v>
      </c>
      <c r="P50" s="23">
        <f t="shared" si="3"/>
        <v>23722.228750686685</v>
      </c>
      <c r="Q50" s="39">
        <f>IF(O50&lt;&gt;0,(((J50/'Arnoud VDAB Pensioenopbouw'!$M$15)/O50)*100),"")</f>
        <v>87.947985048842568</v>
      </c>
    </row>
    <row r="51" spans="2:17" ht="15" thickBot="1" x14ac:dyDescent="0.35">
      <c r="B51" s="16">
        <v>62</v>
      </c>
      <c r="C51" s="17">
        <f>IF(Blad2!E45&lt;&gt;"",(C50*(1+(('Arnoud VDAB Pensioenopbouw'!$C$19)/100)))*(1+Blad2!E45/100),C50*(1+(('Arnoud VDAB Pensioenopbouw'!$C$19)/100)))</f>
        <v>30802</v>
      </c>
      <c r="D51" s="17">
        <f>(D50*(1+'Arnoud VDAB Pensioenopbouw'!$G$19/100))</f>
        <v>14802</v>
      </c>
      <c r="E51" s="17">
        <f t="shared" si="0"/>
        <v>16000</v>
      </c>
      <c r="F51" s="18">
        <f>'Arnoud VDAB Pensioenopbouw'!$D$19</f>
        <v>26.25</v>
      </c>
      <c r="G51" s="19">
        <f>IF(B51&lt;$D$66,1,0)*E51*('Arnoud VDAB Pensioenopbouw'!$D$19/100)</f>
        <v>4200</v>
      </c>
      <c r="H51" s="20">
        <f>1+'Arnoud VDAB Pensioenopbouw'!$Q$19/100</f>
        <v>1.0269999999999999</v>
      </c>
      <c r="I51" s="21">
        <f>($B$58-B51-$B$62)+Blad1!$J$79</f>
        <v>7</v>
      </c>
      <c r="J51" s="22">
        <f>G51*((1+'Arnoud VDAB Pensioenopbouw'!$Q$19/100)^I51)</f>
        <v>5061.0705998346903</v>
      </c>
      <c r="K51" s="23">
        <f t="shared" si="1"/>
        <v>328441.01462088013</v>
      </c>
      <c r="M51" s="108">
        <f>IF(B51&lt;$D$66,1,0)*$E51*('Arnoud VDAB Pensioenopbouw'!$E$19*((100-(($B51-25)*(Blad1!$V$14)))/100))/100</f>
        <v>300</v>
      </c>
      <c r="N51" s="106">
        <f t="shared" si="2"/>
        <v>11400</v>
      </c>
      <c r="O51" s="62">
        <f>M51*((1+'Arnoud VDAB Pensioenopbouw'!$J$19/100)^($D$67-B51))</f>
        <v>371.265679002159</v>
      </c>
      <c r="P51" s="23">
        <f t="shared" si="3"/>
        <v>24093.494429688843</v>
      </c>
      <c r="Q51" s="39">
        <f>IF(O51&lt;&gt;0,(((J51/'Arnoud VDAB Pensioenopbouw'!$M$15)/O51)*100),"")</f>
        <v>87.947985048842554</v>
      </c>
    </row>
    <row r="52" spans="2:17" ht="15" thickBot="1" x14ac:dyDescent="0.35">
      <c r="B52" s="16">
        <v>63</v>
      </c>
      <c r="C52" s="17">
        <f>IF(Blad2!E46&lt;&gt;"",(C51*(1+(('Arnoud VDAB Pensioenopbouw'!$C$19)/100)))*(1+Blad2!E46/100),C51*(1+(('Arnoud VDAB Pensioenopbouw'!$C$19)/100)))</f>
        <v>30802</v>
      </c>
      <c r="D52" s="17">
        <f>(D51*(1+'Arnoud VDAB Pensioenopbouw'!$G$19/100))</f>
        <v>14802</v>
      </c>
      <c r="E52" s="17">
        <f t="shared" si="0"/>
        <v>16000</v>
      </c>
      <c r="F52" s="18">
        <f>'Arnoud VDAB Pensioenopbouw'!$D$19</f>
        <v>26.25</v>
      </c>
      <c r="G52" s="19">
        <f>IF(B52&lt;$D$66,1,0)*E52*('Arnoud VDAB Pensioenopbouw'!$D$19/100)</f>
        <v>4200</v>
      </c>
      <c r="H52" s="20">
        <f>1+'Arnoud VDAB Pensioenopbouw'!$Q$19/100</f>
        <v>1.0269999999999999</v>
      </c>
      <c r="I52" s="21">
        <f>($B$58-B52-$B$62)+Blad1!$J$79</f>
        <v>6</v>
      </c>
      <c r="J52" s="22">
        <f>G52*((1+'Arnoud VDAB Pensioenopbouw'!$Q$19/100)^I52)</f>
        <v>4928.0142160026198</v>
      </c>
      <c r="K52" s="23">
        <f t="shared" si="1"/>
        <v>333369.02883688273</v>
      </c>
      <c r="M52" s="108">
        <f>IF(B52&lt;$D$66,1,0)*$E52*('Arnoud VDAB Pensioenopbouw'!$E$19*((100-(($B52-25)*(Blad1!$V$14)))/100))/100</f>
        <v>300</v>
      </c>
      <c r="N52" s="106">
        <f t="shared" si="2"/>
        <v>11700</v>
      </c>
      <c r="O52" s="62">
        <f>M52*((1+'Arnoud VDAB Pensioenopbouw'!$J$19/100)^($D$67-B52))</f>
        <v>361.50504284533503</v>
      </c>
      <c r="P52" s="23">
        <f t="shared" si="3"/>
        <v>24454.999472534178</v>
      </c>
      <c r="Q52" s="39">
        <f>IF(O52&lt;&gt;0,(((J52/'Arnoud VDAB Pensioenopbouw'!$M$15)/O52)*100),"")</f>
        <v>87.947985048842554</v>
      </c>
    </row>
    <row r="53" spans="2:17" ht="15" thickBot="1" x14ac:dyDescent="0.35">
      <c r="B53" s="16">
        <v>64</v>
      </c>
      <c r="C53" s="17">
        <f>IF(Blad2!E47&lt;&gt;"",(C52*(1+(('Arnoud VDAB Pensioenopbouw'!$C$19)/100)))*(1+Blad2!E47/100),C52*(1+(('Arnoud VDAB Pensioenopbouw'!$C$19)/100)))</f>
        <v>30802</v>
      </c>
      <c r="D53" s="17">
        <f>(D52*(1+'Arnoud VDAB Pensioenopbouw'!$G$19/100))</f>
        <v>14802</v>
      </c>
      <c r="E53" s="17">
        <f t="shared" si="0"/>
        <v>16000</v>
      </c>
      <c r="F53" s="18">
        <f>'Arnoud VDAB Pensioenopbouw'!$D$19</f>
        <v>26.25</v>
      </c>
      <c r="G53" s="19">
        <f>IF(B53&lt;$D$66,1,0)*E53*('Arnoud VDAB Pensioenopbouw'!$D$19/100)</f>
        <v>4200</v>
      </c>
      <c r="H53" s="20">
        <f>1+'Arnoud VDAB Pensioenopbouw'!$Q$19/100</f>
        <v>1.0269999999999999</v>
      </c>
      <c r="I53" s="21">
        <f>($B$58-B53-$B$62)+Blad1!$J$79</f>
        <v>5</v>
      </c>
      <c r="J53" s="22">
        <f>G53*((1+'Arnoud VDAB Pensioenopbouw'!$Q$19/100)^I53)</f>
        <v>4798.4559065264075</v>
      </c>
      <c r="K53" s="23">
        <f t="shared" si="1"/>
        <v>338167.48474340915</v>
      </c>
      <c r="M53" s="108">
        <f>IF(B53&lt;$D$66,1,0)*$E53*('Arnoud VDAB Pensioenopbouw'!$E$19*((100-(($B53-25)*(Blad1!$V$14)))/100))/100</f>
        <v>300</v>
      </c>
      <c r="N53" s="106">
        <f t="shared" si="2"/>
        <v>12000</v>
      </c>
      <c r="O53" s="62">
        <f>M53*((1+'Arnoud VDAB Pensioenopbouw'!$J$19/100)^($D$67-B53))</f>
        <v>352.00101542875854</v>
      </c>
      <c r="P53" s="23">
        <f t="shared" si="3"/>
        <v>24807.000487962938</v>
      </c>
      <c r="Q53" s="39">
        <f>IF(O53&lt;&gt;0,(((J53/'Arnoud VDAB Pensioenopbouw'!$M$15)/O53)*100),"")</f>
        <v>87.947985048842554</v>
      </c>
    </row>
    <row r="54" spans="2:17" ht="15" thickBot="1" x14ac:dyDescent="0.35">
      <c r="B54" s="159">
        <v>65</v>
      </c>
      <c r="C54" s="160">
        <f>IF(Blad2!E48&lt;&gt;"",(C53*(1+(('Arnoud VDAB Pensioenopbouw'!$C$19)/100)))*(1+Blad2!E48/100),C53*(1+(('Arnoud VDAB Pensioenopbouw'!$C$19)/100)))</f>
        <v>30802</v>
      </c>
      <c r="D54" s="17">
        <f>(D53*(1+'Arnoud VDAB Pensioenopbouw'!$G$19/100))</f>
        <v>14802</v>
      </c>
      <c r="E54" s="17">
        <f t="shared" si="0"/>
        <v>16000</v>
      </c>
      <c r="F54" s="18">
        <f>'Arnoud VDAB Pensioenopbouw'!$D$19</f>
        <v>26.25</v>
      </c>
      <c r="G54" s="19">
        <f>IF(B54&lt;$D$66,1,0)*E54*('Arnoud VDAB Pensioenopbouw'!$D$19/100)</f>
        <v>4200</v>
      </c>
      <c r="H54" s="20">
        <f>1+'Arnoud VDAB Pensioenopbouw'!$Q$19/100</f>
        <v>1.0269999999999999</v>
      </c>
      <c r="I54" s="21">
        <f>($B$58-B54-$B$62)+Blad1!$J$79</f>
        <v>4</v>
      </c>
      <c r="J54" s="22">
        <f>G54*((1+'Arnoud VDAB Pensioenopbouw'!$Q$19/100)^I54)</f>
        <v>4672.3037064521986</v>
      </c>
      <c r="K54" s="23">
        <f t="shared" si="1"/>
        <v>342839.78844986134</v>
      </c>
      <c r="M54" s="108">
        <f>IF(B54&lt;$D$66,1,0)*$E54*('Arnoud VDAB Pensioenopbouw'!$E$19*((100-(($B54-25)*(Blad1!$V$14)))/100))/100</f>
        <v>300</v>
      </c>
      <c r="N54" s="106">
        <f t="shared" si="2"/>
        <v>12300</v>
      </c>
      <c r="O54" s="62">
        <f>M54*((1+'Arnoud VDAB Pensioenopbouw'!$J$19/100)^($D$67-B54))</f>
        <v>342.74685046617196</v>
      </c>
      <c r="P54" s="23">
        <f t="shared" si="3"/>
        <v>25149.747338429108</v>
      </c>
      <c r="Q54" s="39">
        <f>IF(O54&lt;&gt;0,(((J54/'Arnoud VDAB Pensioenopbouw'!$M$15)/O54)*100),"")</f>
        <v>87.947985048842554</v>
      </c>
    </row>
    <row r="55" spans="2:17" ht="15" thickBot="1" x14ac:dyDescent="0.35">
      <c r="B55" s="50">
        <v>66</v>
      </c>
      <c r="C55" s="46">
        <f>IF(Blad2!E50&lt;&gt;"",(C54*(1+(('Arnoud VDAB Pensioenopbouw'!$C$19)/100)))*(1+Blad2!E50/100),C54*(1+(('Arnoud VDAB Pensioenopbouw'!$C$19)/100)))</f>
        <v>30802</v>
      </c>
      <c r="D55" s="44">
        <f>(D54*(1+'Arnoud VDAB Pensioenopbouw'!$G$19/100))</f>
        <v>14802</v>
      </c>
      <c r="E55" s="44">
        <f t="shared" si="0"/>
        <v>16000</v>
      </c>
      <c r="F55" s="45">
        <f>'Arnoud VDAB Pensioenopbouw'!$D$19</f>
        <v>26.25</v>
      </c>
      <c r="G55" s="46">
        <f>IF(B55&lt;$D$66,1,0)*E55*('Arnoud VDAB Pensioenopbouw'!$D$19/100)</f>
        <v>4200</v>
      </c>
      <c r="H55" s="47">
        <f>1+'Arnoud VDAB Pensioenopbouw'!$Q$19/100</f>
        <v>1.0269999999999999</v>
      </c>
      <c r="I55" s="48">
        <f>($B$58-B55-$B$62)+Blad1!$J$79</f>
        <v>3</v>
      </c>
      <c r="J55" s="42">
        <f>G55*((1+'Arnoud VDAB Pensioenopbouw'!$Q$19/100)^I55)</f>
        <v>4549.4680685999992</v>
      </c>
      <c r="K55" s="49">
        <f t="shared" si="1"/>
        <v>347389.25651846133</v>
      </c>
      <c r="M55" s="107">
        <f>IF(B55&lt;$D$66,1,0)*$E55*('Arnoud VDAB Pensioenopbouw'!$E$19*((100-(($B55-25)*(Blad1!$V$14)))/100))/100</f>
        <v>300</v>
      </c>
      <c r="N55" s="105">
        <f t="shared" si="2"/>
        <v>12600</v>
      </c>
      <c r="O55" s="52">
        <f>M55*((1+'Arnoud VDAB Pensioenopbouw'!$J$19/100)^($D$67-B55))</f>
        <v>333.73597903229989</v>
      </c>
      <c r="P55" s="49">
        <f t="shared" si="3"/>
        <v>25483.483317461407</v>
      </c>
      <c r="Q55" s="51">
        <f>IF(O55&lt;&gt;0,(((J55/'Arnoud VDAB Pensioenopbouw'!$M$15)/O55)*100),"")</f>
        <v>87.947985048842554</v>
      </c>
    </row>
    <row r="56" spans="2:17" ht="15" thickBot="1" x14ac:dyDescent="0.35">
      <c r="B56" s="50">
        <v>67</v>
      </c>
      <c r="C56" s="46">
        <f>IF(Blad2!E51&lt;&gt;"",(C55*(1+(('Arnoud VDAB Pensioenopbouw'!$C$19)/100)))*(1+Blad2!E51/100),C55*(1+(('Arnoud VDAB Pensioenopbouw'!$C$19)/100)))</f>
        <v>30802</v>
      </c>
      <c r="D56" s="44">
        <f>(D55*(1+'Arnoud VDAB Pensioenopbouw'!$G$19/100))</f>
        <v>14802</v>
      </c>
      <c r="E56" s="44">
        <f t="shared" si="0"/>
        <v>16000</v>
      </c>
      <c r="F56" s="45">
        <f>'Arnoud VDAB Pensioenopbouw'!$D$19</f>
        <v>26.25</v>
      </c>
      <c r="G56" s="46">
        <f>IF(B56&lt;$D$66,1,0)*E56*('Arnoud VDAB Pensioenopbouw'!$D$19/100)</f>
        <v>4200</v>
      </c>
      <c r="H56" s="47">
        <f>1+'Arnoud VDAB Pensioenopbouw'!$Q$19/100</f>
        <v>1.0269999999999999</v>
      </c>
      <c r="I56" s="48">
        <f>($B$58-B56-$B$62)+Blad1!$J$79</f>
        <v>2</v>
      </c>
      <c r="J56" s="42">
        <f>G56*((1+'Arnoud VDAB Pensioenopbouw'!$Q$19/100)^I56)</f>
        <v>4429.8617999999988</v>
      </c>
      <c r="K56" s="49">
        <f t="shared" si="1"/>
        <v>351819.11831846135</v>
      </c>
      <c r="M56" s="107">
        <f>IF(B56&lt;$D$66,1,0)*$E56*('Arnoud VDAB Pensioenopbouw'!$E$19*((100-(($B56-25)*(Blad1!$V$14)))/100))/100</f>
        <v>300</v>
      </c>
      <c r="N56" s="105">
        <f t="shared" si="2"/>
        <v>12900</v>
      </c>
      <c r="O56" s="52">
        <f>M56*((1+'Arnoud VDAB Pensioenopbouw'!$J$19/100)^($D$67-B56))</f>
        <v>324.96200489999995</v>
      </c>
      <c r="P56" s="49">
        <f t="shared" si="3"/>
        <v>25808.445322361407</v>
      </c>
      <c r="Q56" s="51">
        <f>IF(O56&lt;&gt;0,(((J56/'Arnoud VDAB Pensioenopbouw'!$M$15)/O56)*100),"")</f>
        <v>87.947985048842526</v>
      </c>
    </row>
    <row r="57" spans="2:17" ht="15" thickBot="1" x14ac:dyDescent="0.35">
      <c r="B57" s="50">
        <v>68</v>
      </c>
      <c r="C57" s="46">
        <f>IF(Blad2!E52&lt;&gt;"",(C56*(1+(('Arnoud VDAB Pensioenopbouw'!$C$19)/100)))*(1+Blad2!E52/100),C56*(1+(('Arnoud VDAB Pensioenopbouw'!$C$19)/100)))</f>
        <v>30802</v>
      </c>
      <c r="D57" s="44">
        <f>(D56*(1+'Arnoud VDAB Pensioenopbouw'!$G$19/100))</f>
        <v>14802</v>
      </c>
      <c r="E57" s="44">
        <f t="shared" si="0"/>
        <v>16000</v>
      </c>
      <c r="F57" s="45">
        <f>'Arnoud VDAB Pensioenopbouw'!$D$19</f>
        <v>26.25</v>
      </c>
      <c r="G57" s="46">
        <f>IF(B57&lt;$D$66,1,0)*E57*('Arnoud VDAB Pensioenopbouw'!$D$19/100)</f>
        <v>4200</v>
      </c>
      <c r="H57" s="47">
        <f>1+'Arnoud VDAB Pensioenopbouw'!$Q$19/100</f>
        <v>1.0269999999999999</v>
      </c>
      <c r="I57" s="48">
        <f>($B$58-B57-$B$62)+Blad1!$J$79</f>
        <v>1</v>
      </c>
      <c r="J57" s="42">
        <f>G57*((1+'Arnoud VDAB Pensioenopbouw'!$Q$19/100)^I57)</f>
        <v>4313.3999999999996</v>
      </c>
      <c r="K57" s="49">
        <f t="shared" si="1"/>
        <v>356132.51831846137</v>
      </c>
      <c r="M57" s="107">
        <f>IF(B57&lt;$D$66,1,0)*$E57*('Arnoud VDAB Pensioenopbouw'!$E$19*((100-(($B57-25)*(Blad1!$V$14)))/100))/100</f>
        <v>300</v>
      </c>
      <c r="N57" s="105">
        <f t="shared" si="2"/>
        <v>13200</v>
      </c>
      <c r="O57" s="52">
        <f>M57*((1+'Arnoud VDAB Pensioenopbouw'!$J$19/100)^($D$67-B57))</f>
        <v>316.41869999999994</v>
      </c>
      <c r="P57" s="49">
        <f t="shared" si="3"/>
        <v>26124.864022361406</v>
      </c>
      <c r="Q57" s="51">
        <f>IF(O57&lt;&gt;0,(((J57/'Arnoud VDAB Pensioenopbouw'!$M$15)/O57)*100),"")</f>
        <v>87.947985048842554</v>
      </c>
    </row>
    <row r="58" spans="2:17" ht="15" thickBot="1" x14ac:dyDescent="0.35">
      <c r="B58" s="50">
        <v>69</v>
      </c>
      <c r="C58" s="46">
        <f>IF(Blad2!E53&lt;&gt;"",(C57*(1+(('Arnoud VDAB Pensioenopbouw'!$C$19)/100)))*(1+Blad2!E53/100),C57*(1+(('Arnoud VDAB Pensioenopbouw'!$C$19)/100)))</f>
        <v>30802</v>
      </c>
      <c r="D58" s="44">
        <f>(D57*(1+'Arnoud VDAB Pensioenopbouw'!$G$19/100))</f>
        <v>14802</v>
      </c>
      <c r="E58" s="44">
        <f t="shared" si="0"/>
        <v>16000</v>
      </c>
      <c r="F58" s="45">
        <f>'Arnoud VDAB Pensioenopbouw'!$D$19</f>
        <v>26.25</v>
      </c>
      <c r="G58" s="46">
        <f>IF(B58&lt;$D$66,1,0)*E58*('Arnoud VDAB Pensioenopbouw'!$D$19/100)</f>
        <v>4200</v>
      </c>
      <c r="H58" s="47">
        <f>1+'Arnoud VDAB Pensioenopbouw'!$Q$19/100</f>
        <v>1.0269999999999999</v>
      </c>
      <c r="I58" s="48">
        <f>($B$58-B58-$B$62)+Blad1!$J$79</f>
        <v>0</v>
      </c>
      <c r="J58" s="42">
        <f>G58*((1+'Arnoud VDAB Pensioenopbouw'!$Q$19/100)^I58)</f>
        <v>4200</v>
      </c>
      <c r="K58" s="49">
        <f t="shared" si="1"/>
        <v>360332.51831846137</v>
      </c>
      <c r="M58" s="107">
        <f>IF(B58&lt;$D$66,1,0)*$E58*('Arnoud VDAB Pensioenopbouw'!$E$19*((100-(($B58-25)*(Blad1!$V$14)))/100))/100</f>
        <v>300</v>
      </c>
      <c r="N58" s="105">
        <f t="shared" si="2"/>
        <v>13500</v>
      </c>
      <c r="O58" s="52">
        <f>M58*((1+'Arnoud VDAB Pensioenopbouw'!$J$19/100)^($D$67-B58))</f>
        <v>308.09999999999997</v>
      </c>
      <c r="P58" s="49">
        <f t="shared" si="3"/>
        <v>26432.964022361404</v>
      </c>
      <c r="Q58" s="51">
        <f>IF(O58&lt;&gt;0,(((J58/'Arnoud VDAB Pensioenopbouw'!$M$15)/O58)*100),"")</f>
        <v>87.947985048842554</v>
      </c>
    </row>
    <row r="59" spans="2:17" ht="15" thickBot="1" x14ac:dyDescent="0.35">
      <c r="C59" s="24"/>
      <c r="D59" s="299" t="s">
        <v>11</v>
      </c>
      <c r="E59" s="299"/>
      <c r="F59" s="299"/>
      <c r="G59" s="299"/>
      <c r="H59" s="299"/>
      <c r="I59" s="157">
        <f>($B$58-D67)+Blad1!$J$79</f>
        <v>-1</v>
      </c>
      <c r="J59" s="24"/>
      <c r="K59" s="25"/>
      <c r="P59" s="1"/>
    </row>
    <row r="60" spans="2:17" ht="15" thickBot="1" x14ac:dyDescent="0.35">
      <c r="B60" s="50">
        <v>70</v>
      </c>
      <c r="C60" s="24"/>
      <c r="D60" s="300" t="s">
        <v>3</v>
      </c>
      <c r="E60" s="301"/>
      <c r="F60" s="24"/>
      <c r="G60" s="49">
        <f>SUM(G14:G58)</f>
        <v>189000</v>
      </c>
      <c r="H60" s="24"/>
      <c r="I60" s="24"/>
      <c r="J60" s="49">
        <f>SUM(J14:J58)</f>
        <v>360332.51831846137</v>
      </c>
      <c r="K60" s="25"/>
      <c r="M60" s="49">
        <f>SUM(M14:M58)</f>
        <v>13500</v>
      </c>
      <c r="O60" s="49">
        <f>SUM(O14:O58)</f>
        <v>26432.964022361404</v>
      </c>
      <c r="P60" s="1"/>
      <c r="Q60" s="51">
        <f>((J60/'Arnoud VDAB Pensioenopbouw'!$M$15)/O60)*100</f>
        <v>87.947985048842583</v>
      </c>
    </row>
    <row r="61" spans="2:17" ht="15" thickBot="1" x14ac:dyDescent="0.35">
      <c r="K61" s="1"/>
      <c r="P61" s="1"/>
    </row>
    <row r="62" spans="2:17" ht="15" thickBot="1" x14ac:dyDescent="0.35">
      <c r="B62" s="158">
        <f>B60-D67</f>
        <v>0</v>
      </c>
      <c r="E62" s="4"/>
      <c r="J62" s="161"/>
    </row>
    <row r="63" spans="2:17" x14ac:dyDescent="0.3">
      <c r="B63" s="25">
        <v>67</v>
      </c>
      <c r="D63">
        <f>IF(B56&lt;=D67,0,1)</f>
        <v>0</v>
      </c>
      <c r="G63">
        <f>IF(B63=67,1,"")</f>
        <v>1</v>
      </c>
      <c r="K63" s="1"/>
      <c r="P63" s="1"/>
    </row>
    <row r="64" spans="2:17" x14ac:dyDescent="0.3">
      <c r="K64" s="1"/>
      <c r="P64" s="1"/>
    </row>
    <row r="65" spans="2:16" x14ac:dyDescent="0.3">
      <c r="K65" s="1"/>
      <c r="P65" s="1"/>
    </row>
    <row r="66" spans="2:16" x14ac:dyDescent="0.3">
      <c r="B66" s="304" t="s">
        <v>97</v>
      </c>
      <c r="C66" s="304"/>
      <c r="D66" s="164">
        <f>I66</f>
        <v>70</v>
      </c>
      <c r="F66" s="304" t="s">
        <v>99</v>
      </c>
      <c r="G66" s="304"/>
      <c r="H66" s="304"/>
      <c r="I66" s="166">
        <v>70</v>
      </c>
      <c r="K66" s="1"/>
      <c r="P66" s="1"/>
    </row>
    <row r="67" spans="2:16" x14ac:dyDescent="0.3">
      <c r="B67" s="304" t="s">
        <v>98</v>
      </c>
      <c r="C67" s="304"/>
      <c r="D67" s="165">
        <f>I66</f>
        <v>70</v>
      </c>
      <c r="K67" s="1"/>
      <c r="P67" s="1"/>
    </row>
    <row r="68" spans="2:16" x14ac:dyDescent="0.3">
      <c r="K68" s="1"/>
      <c r="P68" s="1"/>
    </row>
    <row r="69" spans="2:16" x14ac:dyDescent="0.3">
      <c r="K69" s="1"/>
      <c r="P69" s="1"/>
    </row>
    <row r="70" spans="2:16" x14ac:dyDescent="0.3">
      <c r="K70" s="1"/>
      <c r="P70" s="1"/>
    </row>
  </sheetData>
  <sheetProtection password="8D29" sheet="1" objects="1" scenarios="1"/>
  <mergeCells count="5">
    <mergeCell ref="D59:H59"/>
    <mergeCell ref="D60:E60"/>
    <mergeCell ref="B66:C66"/>
    <mergeCell ref="B67:C67"/>
    <mergeCell ref="F66:H66"/>
  </mergeCells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"/>
  <sheetViews>
    <sheetView showGridLines="0" showRowColHeaders="0" topLeftCell="A25" workbookViewId="0">
      <selection activeCell="M15" sqref="M15"/>
    </sheetView>
  </sheetViews>
  <sheetFormatPr defaultRowHeight="14.4" x14ac:dyDescent="0.3"/>
  <cols>
    <col min="2" max="2" width="8.6640625" bestFit="1" customWidth="1"/>
    <col min="3" max="3" width="7.5546875" style="25" bestFit="1" customWidth="1"/>
    <col min="4" max="4" width="9.109375" style="25" bestFit="1" customWidth="1"/>
    <col min="5" max="5" width="9.77734375" style="25" bestFit="1" customWidth="1"/>
    <col min="6" max="6" width="8.5546875" style="25" bestFit="1" customWidth="1"/>
    <col min="7" max="7" width="4.44140625" customWidth="1"/>
    <col min="8" max="9" width="8.33203125" style="25" bestFit="1" customWidth="1"/>
    <col min="10" max="10" width="9.88671875" style="25" bestFit="1" customWidth="1"/>
    <col min="11" max="11" width="7.33203125" style="25" bestFit="1" customWidth="1"/>
    <col min="12" max="12" width="8.5546875" bestFit="1" customWidth="1"/>
    <col min="13" max="13" width="8.109375" bestFit="1" customWidth="1"/>
    <col min="14" max="14" width="4.21875" customWidth="1"/>
    <col min="16" max="16" width="9.88671875" style="25" bestFit="1" customWidth="1"/>
    <col min="17" max="17" width="10.44140625" style="25" bestFit="1" customWidth="1"/>
    <col min="18" max="18" width="7.88671875" customWidth="1"/>
    <col min="19" max="19" width="8.5546875" style="25" bestFit="1" customWidth="1"/>
    <col min="20" max="20" width="8.109375" style="25" bestFit="1" customWidth="1"/>
  </cols>
  <sheetData>
    <row r="1" spans="2:20" ht="15" thickBot="1" x14ac:dyDescent="0.35">
      <c r="O1" s="196"/>
      <c r="P1" s="260"/>
      <c r="Q1" s="260"/>
      <c r="S1" s="260"/>
    </row>
    <row r="2" spans="2:20" ht="15" thickBot="1" x14ac:dyDescent="0.35">
      <c r="B2" s="308" t="s">
        <v>140</v>
      </c>
      <c r="C2" s="309"/>
      <c r="D2" s="309"/>
      <c r="E2" s="309"/>
      <c r="F2" s="310"/>
      <c r="H2" s="305" t="s">
        <v>139</v>
      </c>
      <c r="I2" s="306"/>
      <c r="J2" s="306"/>
      <c r="K2" s="306"/>
      <c r="L2" s="306"/>
      <c r="M2" s="307"/>
      <c r="O2" s="305" t="s">
        <v>138</v>
      </c>
      <c r="P2" s="306"/>
      <c r="Q2" s="306"/>
      <c r="R2" s="306"/>
      <c r="S2" s="306"/>
      <c r="T2" s="307"/>
    </row>
    <row r="3" spans="2:20" x14ac:dyDescent="0.3">
      <c r="B3" s="217" t="s">
        <v>46</v>
      </c>
      <c r="C3" s="228" t="s">
        <v>5</v>
      </c>
      <c r="D3" s="228" t="s">
        <v>0</v>
      </c>
      <c r="E3" s="229" t="s">
        <v>0</v>
      </c>
      <c r="F3" s="26" t="s">
        <v>0</v>
      </c>
      <c r="H3" s="232" t="s">
        <v>134</v>
      </c>
      <c r="I3" s="253" t="s">
        <v>127</v>
      </c>
      <c r="J3" s="253" t="s">
        <v>3</v>
      </c>
      <c r="K3" s="263" t="s">
        <v>135</v>
      </c>
      <c r="L3" s="255" t="s">
        <v>53</v>
      </c>
      <c r="M3" s="239" t="s">
        <v>77</v>
      </c>
      <c r="O3" s="232" t="s">
        <v>128</v>
      </c>
      <c r="P3" s="233" t="s">
        <v>21</v>
      </c>
      <c r="Q3" s="237" t="s">
        <v>3</v>
      </c>
      <c r="R3" s="267" t="s">
        <v>135</v>
      </c>
      <c r="S3" s="261" t="s">
        <v>53</v>
      </c>
      <c r="T3" s="239" t="s">
        <v>77</v>
      </c>
    </row>
    <row r="4" spans="2:20" ht="15" thickBot="1" x14ac:dyDescent="0.35">
      <c r="B4" s="218" t="s">
        <v>4</v>
      </c>
      <c r="C4" s="230" t="s">
        <v>37</v>
      </c>
      <c r="D4" s="230" t="s">
        <v>33</v>
      </c>
      <c r="E4" s="231" t="s">
        <v>25</v>
      </c>
      <c r="F4" s="29" t="s">
        <v>7</v>
      </c>
      <c r="H4" s="234" t="s">
        <v>0</v>
      </c>
      <c r="I4" s="254" t="s">
        <v>0</v>
      </c>
      <c r="J4" s="254" t="s">
        <v>81</v>
      </c>
      <c r="K4" s="264" t="s">
        <v>136</v>
      </c>
      <c r="L4" s="256" t="s">
        <v>5</v>
      </c>
      <c r="M4" s="240" t="s">
        <v>75</v>
      </c>
      <c r="O4" s="234" t="s">
        <v>129</v>
      </c>
      <c r="P4" s="235" t="s">
        <v>0</v>
      </c>
      <c r="Q4" s="238" t="s">
        <v>133</v>
      </c>
      <c r="R4" s="268" t="s">
        <v>136</v>
      </c>
      <c r="S4" s="262" t="s">
        <v>5</v>
      </c>
      <c r="T4" s="240" t="s">
        <v>75</v>
      </c>
    </row>
    <row r="5" spans="2:20" x14ac:dyDescent="0.3">
      <c r="B5" s="226">
        <v>20</v>
      </c>
      <c r="C5" s="227">
        <f>Blad1!D84</f>
        <v>30802</v>
      </c>
      <c r="D5" s="227">
        <f>Blad1!F84</f>
        <v>16000</v>
      </c>
      <c r="E5" s="227">
        <f>Blad1!P84</f>
        <v>300</v>
      </c>
      <c r="F5" s="246">
        <f>D5*('Arnoud VDAB Pensioenopbouw'!$D$19/100)</f>
        <v>4200</v>
      </c>
      <c r="H5" s="227">
        <f>Blad1!R84</f>
        <v>1049.378359376057</v>
      </c>
      <c r="I5" s="227">
        <f>Blad1!S84</f>
        <v>1049.378359376057</v>
      </c>
      <c r="J5" s="236">
        <f>Blad1!L84</f>
        <v>14691.297031264798</v>
      </c>
      <c r="K5" s="243">
        <f>Blad1!T84</f>
        <v>90.322580645161281</v>
      </c>
      <c r="L5" s="243">
        <f>(F5/C5)*100</f>
        <v>13.635478215700278</v>
      </c>
      <c r="M5" s="243">
        <f>(F5/D5)*100</f>
        <v>26.25</v>
      </c>
      <c r="O5" s="236">
        <f>Blad3!F2</f>
        <v>1910.4045633788226</v>
      </c>
      <c r="P5" s="236">
        <f>Blad3!N2</f>
        <v>6682.4573548766712</v>
      </c>
      <c r="Q5" s="236">
        <f>Blad3!U2</f>
        <v>6682.4573548766712</v>
      </c>
      <c r="R5" s="243">
        <f>(P5/(H5*'Arnoud VDAB Pensioenopbouw'!$M$15))*100</f>
        <v>41.083969104920911</v>
      </c>
      <c r="S5" s="243">
        <f t="shared" ref="S5:S45" si="0">(O5/C5)*100</f>
        <v>6.2022094778872239</v>
      </c>
      <c r="T5" s="243">
        <f t="shared" ref="T5:T45" si="1">(O5/D5)*100</f>
        <v>11.94002852111764</v>
      </c>
    </row>
    <row r="6" spans="2:20" x14ac:dyDescent="0.3">
      <c r="B6" s="224">
        <v>21</v>
      </c>
      <c r="C6" s="220">
        <f>Blad1!D85</f>
        <v>31418.04</v>
      </c>
      <c r="D6" s="220">
        <f>Blad1!F85</f>
        <v>16320</v>
      </c>
      <c r="E6" s="220">
        <f>Blad1!P85</f>
        <v>306</v>
      </c>
      <c r="F6" s="247">
        <f>D6*('Arnoud VDAB Pensioenopbouw'!$D$19/100)</f>
        <v>4284</v>
      </c>
      <c r="H6" s="245">
        <f>Blad1!R85</f>
        <v>1042.2258291758308</v>
      </c>
      <c r="I6" s="220">
        <f>Blad1!S85</f>
        <v>2091.604188551888</v>
      </c>
      <c r="J6" s="222">
        <f>Blad1!L85</f>
        <v>29282.458639726428</v>
      </c>
      <c r="K6" s="266">
        <f>Blad1!T85</f>
        <v>90.322580645161295</v>
      </c>
      <c r="L6" s="241">
        <f t="shared" ref="L6:L45" si="2">(F6/C6)*100</f>
        <v>13.635478215700278</v>
      </c>
      <c r="M6" s="241">
        <f t="shared" ref="M6:M45" si="3">(F6/D6)*100</f>
        <v>26.25</v>
      </c>
      <c r="O6" s="222">
        <f>Blad3!F3</f>
        <v>2001.2251963218516</v>
      </c>
      <c r="P6" s="258">
        <f>Blad3!N3</f>
        <v>6816.1065019742036</v>
      </c>
      <c r="Q6" s="222">
        <f>Q5+P6</f>
        <v>13498.563856850875</v>
      </c>
      <c r="R6" s="269">
        <f>(P6/(H6*'Arnoud VDAB Pensioenopbouw'!$M$15))*100</f>
        <v>42.193236270753772</v>
      </c>
      <c r="S6" s="241">
        <f t="shared" si="0"/>
        <v>6.3696691337901772</v>
      </c>
      <c r="T6" s="241">
        <f t="shared" si="1"/>
        <v>12.262409291187817</v>
      </c>
    </row>
    <row r="7" spans="2:20" x14ac:dyDescent="0.3">
      <c r="B7" s="224">
        <v>22</v>
      </c>
      <c r="C7" s="220">
        <f>Blad1!D86</f>
        <v>32046.400800000003</v>
      </c>
      <c r="D7" s="220">
        <f>Blad1!F86</f>
        <v>16646.400000000001</v>
      </c>
      <c r="E7" s="220">
        <f>Blad1!P86</f>
        <v>312.12000000000006</v>
      </c>
      <c r="F7" s="247">
        <f>D7*('Arnoud VDAB Pensioenopbouw'!$D$19/100)</f>
        <v>4369.68</v>
      </c>
      <c r="H7" s="220">
        <f>Blad1!R86</f>
        <v>1035.1220503985858</v>
      </c>
      <c r="I7" s="220">
        <f>Blad1!S86</f>
        <v>3126.726238950474</v>
      </c>
      <c r="J7" s="222">
        <f>Blad1!L86</f>
        <v>43774.167345306625</v>
      </c>
      <c r="K7" s="266">
        <f>Blad1!T86</f>
        <v>90.322580645161281</v>
      </c>
      <c r="L7" s="241">
        <f t="shared" si="2"/>
        <v>13.635478215700278</v>
      </c>
      <c r="M7" s="241">
        <f t="shared" si="3"/>
        <v>26.25</v>
      </c>
      <c r="O7" s="222">
        <f>Blad3!F4</f>
        <v>2096.3634421549923</v>
      </c>
      <c r="P7" s="258">
        <f>Blad3!N4</f>
        <v>6952.428632013688</v>
      </c>
      <c r="Q7" s="222">
        <f t="shared" ref="Q7:Q45" si="4">Q6+P7</f>
        <v>20450.992488864562</v>
      </c>
      <c r="R7" s="269">
        <f>(P7/(H7*'Arnoud VDAB Pensioenopbouw'!$M$15))*100</f>
        <v>43.332453650064117</v>
      </c>
      <c r="S7" s="241">
        <f t="shared" si="0"/>
        <v>6.5416502004025112</v>
      </c>
      <c r="T7" s="241">
        <f t="shared" si="1"/>
        <v>12.593494342049885</v>
      </c>
    </row>
    <row r="8" spans="2:20" x14ac:dyDescent="0.3">
      <c r="B8" s="224">
        <v>23</v>
      </c>
      <c r="C8" s="220">
        <f>Blad1!D87</f>
        <v>32687.328816000005</v>
      </c>
      <c r="D8" s="220">
        <f>Blad1!F87</f>
        <v>16979.328000000001</v>
      </c>
      <c r="E8" s="220">
        <f>Blad1!P87</f>
        <v>318.36240000000004</v>
      </c>
      <c r="F8" s="247">
        <f>D8*('Arnoud VDAB Pensioenopbouw'!$D$19/100)</f>
        <v>4457.0736000000006</v>
      </c>
      <c r="H8" s="220">
        <f>Blad1!R87</f>
        <v>1028.0666907561417</v>
      </c>
      <c r="I8" s="220">
        <f>Blad1!S87</f>
        <v>4154.7929297066157</v>
      </c>
      <c r="J8" s="222">
        <f>Blad1!L87</f>
        <v>58167.101015892607</v>
      </c>
      <c r="K8" s="266">
        <f>Blad1!T87</f>
        <v>90.322580645161295</v>
      </c>
      <c r="L8" s="241">
        <f t="shared" si="2"/>
        <v>13.635478215700278</v>
      </c>
      <c r="M8" s="241">
        <f t="shared" si="3"/>
        <v>26.25</v>
      </c>
      <c r="O8" s="251">
        <f>Blad3!F5</f>
        <v>2196.024560195041</v>
      </c>
      <c r="P8" s="258">
        <f>Blad3!N5</f>
        <v>7091.4772046539647</v>
      </c>
      <c r="Q8" s="222">
        <f t="shared" si="4"/>
        <v>27542.469693518527</v>
      </c>
      <c r="R8" s="269">
        <f>(P8/(H8*'Arnoud VDAB Pensioenopbouw'!$M$15))*100</f>
        <v>44.502429898615866</v>
      </c>
      <c r="S8" s="241">
        <f t="shared" si="0"/>
        <v>6.7182747558133808</v>
      </c>
      <c r="T8" s="241">
        <f t="shared" si="1"/>
        <v>12.933518689285235</v>
      </c>
    </row>
    <row r="9" spans="2:20" x14ac:dyDescent="0.3">
      <c r="B9" s="224">
        <v>24</v>
      </c>
      <c r="C9" s="220">
        <f>Blad1!D88</f>
        <v>33341.075392320003</v>
      </c>
      <c r="D9" s="220">
        <f>Blad1!F88</f>
        <v>17318.914560000001</v>
      </c>
      <c r="E9" s="220">
        <f>Blad1!P88</f>
        <v>324.729648</v>
      </c>
      <c r="F9" s="247">
        <f>D9*('Arnoud VDAB Pensioenopbouw'!$D$19/100)</f>
        <v>4546.2150720000009</v>
      </c>
      <c r="H9" s="220">
        <f>Blad1!R88</f>
        <v>1021.0594202251847</v>
      </c>
      <c r="I9" s="220">
        <f>Blad1!S88</f>
        <v>5175.8523499318007</v>
      </c>
      <c r="J9" s="222">
        <f>Blad1!L88</f>
        <v>72461.93289904519</v>
      </c>
      <c r="K9" s="266">
        <f>Blad1!T88</f>
        <v>90.32258064516131</v>
      </c>
      <c r="L9" s="241">
        <f t="shared" si="2"/>
        <v>13.635478215700282</v>
      </c>
      <c r="M9" s="241">
        <f t="shared" si="3"/>
        <v>26.25</v>
      </c>
      <c r="O9" s="222">
        <f>Blad3!F6</f>
        <v>2300.4235677867127</v>
      </c>
      <c r="P9" s="258">
        <f>Blad3!N6</f>
        <v>7233.3067487470425</v>
      </c>
      <c r="Q9" s="222">
        <f t="shared" si="4"/>
        <v>34775.776442265567</v>
      </c>
      <c r="R9" s="269">
        <f>(P9/(H9*'Arnoud VDAB Pensioenopbouw'!$M$15))*100</f>
        <v>45.703995505878481</v>
      </c>
      <c r="S9" s="241">
        <f t="shared" si="0"/>
        <v>6.8996681742203396</v>
      </c>
      <c r="T9" s="241">
        <f t="shared" si="1"/>
        <v>13.282723693895933</v>
      </c>
    </row>
    <row r="10" spans="2:20" x14ac:dyDescent="0.3">
      <c r="B10" s="224">
        <v>25</v>
      </c>
      <c r="C10" s="220">
        <f>Blad1!D89</f>
        <v>34007.896900166401</v>
      </c>
      <c r="D10" s="220">
        <f>Blad1!F89</f>
        <v>17665.2928512</v>
      </c>
      <c r="E10" s="220">
        <f>Blad1!P89</f>
        <v>331.22424096000003</v>
      </c>
      <c r="F10" s="247">
        <f>D10*('Arnoud VDAB Pensioenopbouw'!$D$19/100)</f>
        <v>4637.1393734399999</v>
      </c>
      <c r="H10" s="220">
        <f>Blad1!R89</f>
        <v>1014.099911031829</v>
      </c>
      <c r="I10" s="220">
        <f>Blad1!S89</f>
        <v>6189.9522609636297</v>
      </c>
      <c r="J10" s="222">
        <f>Blad1!L89</f>
        <v>86659.331653490794</v>
      </c>
      <c r="K10" s="266">
        <f>Blad1!T89</f>
        <v>90.322580645161281</v>
      </c>
      <c r="L10" s="241">
        <f t="shared" si="2"/>
        <v>13.635478215700278</v>
      </c>
      <c r="M10" s="241">
        <f t="shared" si="3"/>
        <v>26.25</v>
      </c>
      <c r="O10" s="222">
        <f>Blad3!F7</f>
        <v>2409.7857041992925</v>
      </c>
      <c r="P10" s="258">
        <f>Blad3!N7</f>
        <v>7377.9728837219818</v>
      </c>
      <c r="Q10" s="222">
        <f t="shared" si="4"/>
        <v>42153.749325987548</v>
      </c>
      <c r="R10" s="269">
        <f>(P10/(H10*'Arnoud VDAB Pensioenopbouw'!$M$15))*100</f>
        <v>46.938003384537183</v>
      </c>
      <c r="S10" s="241">
        <f t="shared" si="0"/>
        <v>7.085959214924288</v>
      </c>
      <c r="T10" s="241">
        <f t="shared" si="1"/>
        <v>13.641357233631121</v>
      </c>
    </row>
    <row r="11" spans="2:20" x14ac:dyDescent="0.3">
      <c r="B11" s="224">
        <v>26</v>
      </c>
      <c r="C11" s="220">
        <f>Blad1!D90</f>
        <v>34688.05483816973</v>
      </c>
      <c r="D11" s="220">
        <f>Blad1!F90</f>
        <v>18018.598708223999</v>
      </c>
      <c r="E11" s="220">
        <f>Blad1!P90</f>
        <v>337.84872577919998</v>
      </c>
      <c r="F11" s="247">
        <f>D11*('Arnoud VDAB Pensioenopbouw'!$D$19/100)</f>
        <v>4729.8821609088</v>
      </c>
      <c r="H11" s="220">
        <f>Blad1!R90</f>
        <v>1007.1878376362858</v>
      </c>
      <c r="I11" s="220">
        <f>Blad1!S90</f>
        <v>7197.1400985999153</v>
      </c>
      <c r="J11" s="222">
        <f>Blad1!L90</f>
        <v>100759.9613803988</v>
      </c>
      <c r="K11" s="266">
        <f>Blad1!T90</f>
        <v>90.322580645161295</v>
      </c>
      <c r="L11" s="241">
        <f t="shared" si="2"/>
        <v>13.635478215700278</v>
      </c>
      <c r="M11" s="241">
        <f t="shared" si="3"/>
        <v>26.25</v>
      </c>
      <c r="O11" s="222">
        <f>Blad3!F8</f>
        <v>2524.3469165769266</v>
      </c>
      <c r="P11" s="258">
        <f>Blad3!N8</f>
        <v>7525.5323413964206</v>
      </c>
      <c r="Q11" s="222">
        <f t="shared" si="4"/>
        <v>49679.28166738397</v>
      </c>
      <c r="R11" s="269">
        <f>(P11/(H11*'Arnoud VDAB Pensioenopbouw'!$M$15))*100</f>
        <v>48.20532947591969</v>
      </c>
      <c r="S11" s="241">
        <f t="shared" si="0"/>
        <v>7.2772801137272429</v>
      </c>
      <c r="T11" s="241">
        <f t="shared" si="1"/>
        <v>14.009673878939161</v>
      </c>
    </row>
    <row r="12" spans="2:20" x14ac:dyDescent="0.3">
      <c r="B12" s="224">
        <v>27</v>
      </c>
      <c r="C12" s="220">
        <f>Blad1!D91</f>
        <v>35381.815934933125</v>
      </c>
      <c r="D12" s="220">
        <f>Blad1!F91</f>
        <v>18378.970682388481</v>
      </c>
      <c r="E12" s="220">
        <f>Blad1!P91</f>
        <v>344.60570029478401</v>
      </c>
      <c r="F12" s="247">
        <f>D12*('Arnoud VDAB Pensioenopbouw'!$D$19/100)</f>
        <v>4824.479804126976</v>
      </c>
      <c r="H12" s="220">
        <f>Blad1!R91</f>
        <v>1000.3228767176356</v>
      </c>
      <c r="I12" s="220">
        <f>Blad1!S91</f>
        <v>8197.4629753175504</v>
      </c>
      <c r="J12" s="222">
        <f>Blad1!L91</f>
        <v>114764.4816544457</v>
      </c>
      <c r="K12" s="266">
        <f>Blad1!T91</f>
        <v>90.322580645161281</v>
      </c>
      <c r="L12" s="241">
        <f t="shared" si="2"/>
        <v>13.635478215700278</v>
      </c>
      <c r="M12" s="241">
        <f t="shared" si="3"/>
        <v>26.25</v>
      </c>
      <c r="O12" s="222">
        <f>Blad3!F9</f>
        <v>2644.3543689909939</v>
      </c>
      <c r="P12" s="258">
        <f>Blad3!N9</f>
        <v>7676.0429882243516</v>
      </c>
      <c r="Q12" s="222">
        <f t="shared" si="4"/>
        <v>57355.324655608318</v>
      </c>
      <c r="R12" s="269">
        <f>(P12/(H12*'Arnoud VDAB Pensioenopbouw'!$M$15))*100</f>
        <v>49.50687337176953</v>
      </c>
      <c r="S12" s="241">
        <f t="shared" si="0"/>
        <v>7.4737666767978785</v>
      </c>
      <c r="T12" s="241">
        <f t="shared" si="1"/>
        <v>14.387935073670519</v>
      </c>
    </row>
    <row r="13" spans="2:20" x14ac:dyDescent="0.3">
      <c r="B13" s="224">
        <v>28</v>
      </c>
      <c r="C13" s="220">
        <f>Blad1!D92</f>
        <v>36089.452253631789</v>
      </c>
      <c r="D13" s="220">
        <f>Blad1!F92</f>
        <v>18746.550096036251</v>
      </c>
      <c r="E13" s="220">
        <f>Blad1!P92</f>
        <v>351.49781430067975</v>
      </c>
      <c r="F13" s="247">
        <f>D13*('Arnoud VDAB Pensioenopbouw'!$D$19/100)</f>
        <v>4920.9694002095166</v>
      </c>
      <c r="H13" s="220">
        <f>Blad1!R92</f>
        <v>993.5047071587037</v>
      </c>
      <c r="I13" s="220">
        <f>Blad1!S92</f>
        <v>9190.9676824762537</v>
      </c>
      <c r="J13" s="222">
        <f>Blad1!L92</f>
        <v>128673.54755466754</v>
      </c>
      <c r="K13" s="266">
        <f>Blad1!T92</f>
        <v>90.322580645161295</v>
      </c>
      <c r="L13" s="241">
        <f t="shared" si="2"/>
        <v>13.635478215700282</v>
      </c>
      <c r="M13" s="241">
        <f t="shared" si="3"/>
        <v>26.25</v>
      </c>
      <c r="O13" s="222">
        <f>Blad3!F10</f>
        <v>2770.0669756928255</v>
      </c>
      <c r="P13" s="258">
        <f>Blad3!N10</f>
        <v>7829.5638479888394</v>
      </c>
      <c r="Q13" s="222">
        <f t="shared" si="4"/>
        <v>65184.888503597154</v>
      </c>
      <c r="R13" s="269">
        <f>(P13/(H13*'Arnoud VDAB Pensioenopbouw'!$M$15))*100</f>
        <v>50.843558952807285</v>
      </c>
      <c r="S13" s="241">
        <f t="shared" si="0"/>
        <v>7.67555837707142</v>
      </c>
      <c r="T13" s="241">
        <f t="shared" si="1"/>
        <v>14.776409320659619</v>
      </c>
    </row>
    <row r="14" spans="2:20" x14ac:dyDescent="0.3">
      <c r="B14" s="224">
        <v>29</v>
      </c>
      <c r="C14" s="220">
        <f>Blad1!D93</f>
        <v>36811.241298704423</v>
      </c>
      <c r="D14" s="220">
        <f>Blad1!F93</f>
        <v>19121.481097956974</v>
      </c>
      <c r="E14" s="220">
        <f>Blad1!P93</f>
        <v>358.52777058669324</v>
      </c>
      <c r="F14" s="247">
        <f>D14*('Arnoud VDAB Pensioenopbouw'!$D$19/100)</f>
        <v>5019.388788213706</v>
      </c>
      <c r="H14" s="220">
        <f>Blad1!R93</f>
        <v>986.73301003103938</v>
      </c>
      <c r="I14" s="220">
        <f>Blad1!S93</f>
        <v>10177.700692507293</v>
      </c>
      <c r="J14" s="222">
        <f>Blad1!L93</f>
        <v>142487.8096951021</v>
      </c>
      <c r="K14" s="266">
        <f>Blad1!T93</f>
        <v>90.32258064516131</v>
      </c>
      <c r="L14" s="241">
        <f t="shared" si="2"/>
        <v>13.635478215700278</v>
      </c>
      <c r="M14" s="241">
        <f t="shared" si="3"/>
        <v>26.25</v>
      </c>
      <c r="O14" s="222">
        <f>Blad3!F11</f>
        <v>2901.7559597172612</v>
      </c>
      <c r="P14" s="258">
        <f>Blad3!N11</f>
        <v>7986.1551249486129</v>
      </c>
      <c r="Q14" s="222">
        <f t="shared" si="4"/>
        <v>73171.043628545769</v>
      </c>
      <c r="R14" s="269">
        <f>(P14/(H14*'Arnoud VDAB Pensioenopbouw'!$M$15))*100</f>
        <v>52.216335044533082</v>
      </c>
      <c r="S14" s="241">
        <f t="shared" si="0"/>
        <v>7.8827984532523461</v>
      </c>
      <c r="T14" s="241">
        <f t="shared" si="1"/>
        <v>15.175372372317424</v>
      </c>
    </row>
    <row r="15" spans="2:20" x14ac:dyDescent="0.3">
      <c r="B15" s="225">
        <v>30</v>
      </c>
      <c r="C15" s="219">
        <f>Blad1!D94</f>
        <v>37547.466124678511</v>
      </c>
      <c r="D15" s="219">
        <f>Blad1!F94</f>
        <v>19503.910719916112</v>
      </c>
      <c r="E15" s="219">
        <f>Blad1!P94</f>
        <v>365.69832599842709</v>
      </c>
      <c r="F15" s="244">
        <f>D15*('Arnoud VDAB Pensioenopbouw'!$D$19/100)</f>
        <v>5119.7765639779791</v>
      </c>
      <c r="H15" s="219">
        <f>Blad1!R94</f>
        <v>980.00746858000025</v>
      </c>
      <c r="I15" s="219">
        <f>Blad1!S94</f>
        <v>11157.708161087294</v>
      </c>
      <c r="J15" s="221">
        <f>Blad1!L94</f>
        <v>156207.9142552221</v>
      </c>
      <c r="K15" s="242">
        <f>Blad1!T94</f>
        <v>90.322580645161281</v>
      </c>
      <c r="L15" s="242">
        <f t="shared" si="2"/>
        <v>13.635478215700275</v>
      </c>
      <c r="M15" s="242">
        <f t="shared" si="3"/>
        <v>26.25</v>
      </c>
      <c r="O15" s="221">
        <f>Blad3!F12</f>
        <v>3039.7054380422196</v>
      </c>
      <c r="P15" s="236">
        <f>Blad3!N12</f>
        <v>8145.8782274475852</v>
      </c>
      <c r="Q15" s="221">
        <f t="shared" si="4"/>
        <v>81316.921855993351</v>
      </c>
      <c r="R15" s="242">
        <f>(P15/(H15*'Arnoud VDAB Pensioenopbouw'!$M$15))*100</f>
        <v>53.62617609073547</v>
      </c>
      <c r="S15" s="242">
        <f t="shared" si="0"/>
        <v>8.0956340114901586</v>
      </c>
      <c r="T15" s="242">
        <f t="shared" si="1"/>
        <v>15.585107426369996</v>
      </c>
    </row>
    <row r="16" spans="2:20" x14ac:dyDescent="0.3">
      <c r="B16" s="224">
        <v>31</v>
      </c>
      <c r="C16" s="220">
        <f>Blad1!D95</f>
        <v>38298.415447172083</v>
      </c>
      <c r="D16" s="220">
        <f>Blad1!F95</f>
        <v>19893.988934314435</v>
      </c>
      <c r="E16" s="220">
        <f>Blad1!P95</f>
        <v>373.01229251839561</v>
      </c>
      <c r="F16" s="247">
        <f>D16*('Arnoud VDAB Pensioenopbouw'!$D$19/100)</f>
        <v>5222.1720952575397</v>
      </c>
      <c r="H16" s="220">
        <f>Blad1!R95</f>
        <v>973.32776820993217</v>
      </c>
      <c r="I16" s="220">
        <f>Blad1!S95</f>
        <v>12131.035929297226</v>
      </c>
      <c r="J16" s="222">
        <f>Blad1!L95</f>
        <v>169834.50301016116</v>
      </c>
      <c r="K16" s="266">
        <f>Blad1!T95</f>
        <v>90.32258064516131</v>
      </c>
      <c r="L16" s="241">
        <f t="shared" si="2"/>
        <v>13.635478215700278</v>
      </c>
      <c r="M16" s="241">
        <f t="shared" si="3"/>
        <v>26.25</v>
      </c>
      <c r="O16" s="222">
        <f>Blad3!F13</f>
        <v>3184.213034566747</v>
      </c>
      <c r="P16" s="258">
        <f>Blad3!N13</f>
        <v>8308.7957919965393</v>
      </c>
      <c r="Q16" s="222">
        <f t="shared" si="4"/>
        <v>89625.717647989892</v>
      </c>
      <c r="R16" s="269">
        <f>(P16/(H16*'Arnoud VDAB Pensioenopbouw'!$M$15))*100</f>
        <v>55.074082845185337</v>
      </c>
      <c r="S16" s="241">
        <f t="shared" si="0"/>
        <v>8.3142161298003927</v>
      </c>
      <c r="T16" s="241">
        <f t="shared" si="1"/>
        <v>16.005905326881987</v>
      </c>
    </row>
    <row r="17" spans="2:20" x14ac:dyDescent="0.3">
      <c r="B17" s="224">
        <v>32</v>
      </c>
      <c r="C17" s="220">
        <f>Blad1!D96</f>
        <v>39064.383756115523</v>
      </c>
      <c r="D17" s="220">
        <f>Blad1!F96</f>
        <v>20291.86871300072</v>
      </c>
      <c r="E17" s="220">
        <f>Blad1!P96</f>
        <v>380.47253836876348</v>
      </c>
      <c r="F17" s="247">
        <f>D17*('Arnoud VDAB Pensioenopbouw'!$D$19/100)</f>
        <v>5326.6155371626892</v>
      </c>
      <c r="H17" s="220">
        <f>Blad1!R96</f>
        <v>966.69359646945554</v>
      </c>
      <c r="I17" s="220">
        <f>Blad1!S96</f>
        <v>13097.729525766681</v>
      </c>
      <c r="J17" s="222">
        <f>Blad1!L96</f>
        <v>183368.21336073353</v>
      </c>
      <c r="K17" s="266">
        <f>Blad1!T96</f>
        <v>90.322580645161295</v>
      </c>
      <c r="L17" s="241">
        <f t="shared" si="2"/>
        <v>13.635478215700275</v>
      </c>
      <c r="M17" s="241">
        <f t="shared" si="3"/>
        <v>26.25</v>
      </c>
      <c r="O17" s="222">
        <f>Blad3!F14</f>
        <v>3335.5905222300494</v>
      </c>
      <c r="P17" s="258">
        <f>Blad3!N14</f>
        <v>8474.9717078364683</v>
      </c>
      <c r="Q17" s="222">
        <f t="shared" si="4"/>
        <v>98100.689355826355</v>
      </c>
      <c r="R17" s="269">
        <f>(P17/(H17*'Arnoud VDAB Pensioenopbouw'!$M$15))*100</f>
        <v>56.561083082005339</v>
      </c>
      <c r="S17" s="241">
        <f t="shared" si="0"/>
        <v>8.5386999653050033</v>
      </c>
      <c r="T17" s="241">
        <f t="shared" si="1"/>
        <v>16.4380647707078</v>
      </c>
    </row>
    <row r="18" spans="2:20" x14ac:dyDescent="0.3">
      <c r="B18" s="224">
        <v>33</v>
      </c>
      <c r="C18" s="220">
        <f>Blad1!D97</f>
        <v>39845.671431237832</v>
      </c>
      <c r="D18" s="220">
        <f>Blad1!F97</f>
        <v>20697.706087260733</v>
      </c>
      <c r="E18" s="220">
        <f>Blad1!P97</f>
        <v>388.0819891361387</v>
      </c>
      <c r="F18" s="247">
        <f>D18*('Arnoud VDAB Pensioenopbouw'!$D$19/100)</f>
        <v>5433.1478479059424</v>
      </c>
      <c r="H18" s="220">
        <f>Blad1!R97</f>
        <v>960.10464303684955</v>
      </c>
      <c r="I18" s="220">
        <f>Blad1!S97</f>
        <v>14057.834168803531</v>
      </c>
      <c r="J18" s="222">
        <f>Blad1!L97</f>
        <v>196809.67836324943</v>
      </c>
      <c r="K18" s="266">
        <f>Blad1!T97</f>
        <v>90.32258064516131</v>
      </c>
      <c r="L18" s="241">
        <f t="shared" si="2"/>
        <v>13.635478215700275</v>
      </c>
      <c r="M18" s="241">
        <f t="shared" si="3"/>
        <v>26.25</v>
      </c>
      <c r="O18" s="222">
        <f>Blad3!F15</f>
        <v>3494.1644956568648</v>
      </c>
      <c r="P18" s="258">
        <f>Blad3!N15</f>
        <v>8644.4711419931955</v>
      </c>
      <c r="Q18" s="222">
        <f t="shared" si="4"/>
        <v>106745.16049781955</v>
      </c>
      <c r="R18" s="269">
        <f>(P18/(H18*'Arnoud VDAB Pensioenopbouw'!$M$15))*100</f>
        <v>58.088232325219465</v>
      </c>
      <c r="S18" s="241">
        <f t="shared" si="0"/>
        <v>8.7692448643682344</v>
      </c>
      <c r="T18" s="241">
        <f t="shared" si="1"/>
        <v>16.881892519516907</v>
      </c>
    </row>
    <row r="19" spans="2:20" x14ac:dyDescent="0.3">
      <c r="B19" s="224">
        <v>34</v>
      </c>
      <c r="C19" s="220">
        <f>Blad1!D98</f>
        <v>40642.584859862589</v>
      </c>
      <c r="D19" s="220">
        <f>Blad1!F98</f>
        <v>21111.660209005946</v>
      </c>
      <c r="E19" s="220">
        <f>Blad1!P98</f>
        <v>395.8436289188615</v>
      </c>
      <c r="F19" s="247">
        <f>D19*('Arnoud VDAB Pensioenopbouw'!$D$19/100)</f>
        <v>5541.8108048640606</v>
      </c>
      <c r="H19" s="220">
        <f>Blad1!R98</f>
        <v>953.56059970553724</v>
      </c>
      <c r="I19" s="220">
        <f>Blad1!S98</f>
        <v>15011.394768509068</v>
      </c>
      <c r="J19" s="222">
        <f>Blad1!L98</f>
        <v>210159.52675912695</v>
      </c>
      <c r="K19" s="266">
        <f>Blad1!T98</f>
        <v>90.322580645161295</v>
      </c>
      <c r="L19" s="241">
        <f t="shared" si="2"/>
        <v>13.635478215700273</v>
      </c>
      <c r="M19" s="241">
        <f t="shared" si="3"/>
        <v>26.25</v>
      </c>
      <c r="O19" s="222">
        <f>Blad3!F16</f>
        <v>3660.2770757803919</v>
      </c>
      <c r="P19" s="258">
        <f>Blad3!N16</f>
        <v>8817.3605648330595</v>
      </c>
      <c r="Q19" s="222">
        <f t="shared" si="4"/>
        <v>115562.52106265261</v>
      </c>
      <c r="R19" s="269">
        <f>(P19/(H19*'Arnoud VDAB Pensioenopbouw'!$M$15))*100</f>
        <v>59.656614598000388</v>
      </c>
      <c r="S19" s="241">
        <f t="shared" si="0"/>
        <v>9.0060144757061771</v>
      </c>
      <c r="T19" s="241">
        <f t="shared" si="1"/>
        <v>17.337703617543863</v>
      </c>
    </row>
    <row r="20" spans="2:20" x14ac:dyDescent="0.3">
      <c r="B20" s="224">
        <v>35</v>
      </c>
      <c r="C20" s="220">
        <f>Blad1!D99</f>
        <v>41455.436557059838</v>
      </c>
      <c r="D20" s="220">
        <f>Blad1!F99</f>
        <v>21533.893413186062</v>
      </c>
      <c r="E20" s="220">
        <f>Blad1!P99</f>
        <v>403.76050149723864</v>
      </c>
      <c r="F20" s="247">
        <f>D20*('Arnoud VDAB Pensioenopbouw'!$D$19/100)</f>
        <v>5652.6470209613417</v>
      </c>
      <c r="H20" s="220">
        <f>Blad1!R99</f>
        <v>947.06116036966682</v>
      </c>
      <c r="I20" s="220">
        <f>Blad1!S99</f>
        <v>15958.455928878735</v>
      </c>
      <c r="J20" s="222">
        <f>Blad1!L99</f>
        <v>223418.38300430228</v>
      </c>
      <c r="K20" s="266">
        <f>Blad1!T99</f>
        <v>90.322580645161295</v>
      </c>
      <c r="L20" s="241">
        <f t="shared" si="2"/>
        <v>13.635478215700273</v>
      </c>
      <c r="M20" s="241">
        <f t="shared" si="3"/>
        <v>26.25</v>
      </c>
      <c r="O20" s="222">
        <f>Blad3!F17</f>
        <v>3834.2866479629906</v>
      </c>
      <c r="P20" s="258">
        <f>Blad3!N17</f>
        <v>8993.7077761297187</v>
      </c>
      <c r="Q20" s="222">
        <f t="shared" si="4"/>
        <v>124556.22883878232</v>
      </c>
      <c r="R20" s="269">
        <f>(P20/(H20*'Arnoud VDAB Pensioenopbouw'!$M$15))*100</f>
        <v>61.267343192146384</v>
      </c>
      <c r="S20" s="241">
        <f t="shared" si="0"/>
        <v>9.2491768665502416</v>
      </c>
      <c r="T20" s="241">
        <f t="shared" si="1"/>
        <v>17.805821615217543</v>
      </c>
    </row>
    <row r="21" spans="2:20" x14ac:dyDescent="0.3">
      <c r="B21" s="224">
        <v>36</v>
      </c>
      <c r="C21" s="220">
        <f>Blad1!D100</f>
        <v>42284.545288201036</v>
      </c>
      <c r="D21" s="220">
        <f>Blad1!F100</f>
        <v>21964.571281449786</v>
      </c>
      <c r="E21" s="220">
        <f>Blad1!P100</f>
        <v>411.83571152718343</v>
      </c>
      <c r="F21" s="247">
        <f>D21*('Arnoud VDAB Pensioenopbouw'!$D$19/100)</f>
        <v>5765.6999613805692</v>
      </c>
      <c r="H21" s="220">
        <f>Blad1!R100</f>
        <v>940.60602100979588</v>
      </c>
      <c r="I21" s="220">
        <f>Blad1!S100</f>
        <v>16899.061949888532</v>
      </c>
      <c r="J21" s="222">
        <f>Blad1!L100</f>
        <v>236586.86729843944</v>
      </c>
      <c r="K21" s="266">
        <f>Blad1!T100</f>
        <v>90.322580645161324</v>
      </c>
      <c r="L21" s="241">
        <f t="shared" si="2"/>
        <v>13.635478215700275</v>
      </c>
      <c r="M21" s="241">
        <f t="shared" si="3"/>
        <v>26.25</v>
      </c>
      <c r="O21" s="222">
        <f>Blad3!F18</f>
        <v>4016.5686352071511</v>
      </c>
      <c r="P21" s="258">
        <f>Blad3!N18</f>
        <v>9173.5819316523157</v>
      </c>
      <c r="Q21" s="222">
        <f t="shared" si="4"/>
        <v>133729.81077043465</v>
      </c>
      <c r="R21" s="269">
        <f>(P21/(H21*'Arnoud VDAB Pensioenopbouw'!$M$15))*100</f>
        <v>62.921561458334352</v>
      </c>
      <c r="S21" s="241">
        <f t="shared" si="0"/>
        <v>9.4989046419470977</v>
      </c>
      <c r="T21" s="241">
        <f t="shared" si="1"/>
        <v>18.286578798828415</v>
      </c>
    </row>
    <row r="22" spans="2:20" x14ac:dyDescent="0.3">
      <c r="B22" s="224">
        <v>37</v>
      </c>
      <c r="C22" s="220">
        <f>Blad1!D101</f>
        <v>43130.236193965058</v>
      </c>
      <c r="D22" s="220">
        <f>Blad1!F101</f>
        <v>22403.862707078784</v>
      </c>
      <c r="E22" s="220">
        <f>Blad1!P101</f>
        <v>420.07242575772716</v>
      </c>
      <c r="F22" s="247">
        <f>D22*('Arnoud VDAB Pensioenopbouw'!$D$19/100)</f>
        <v>5881.0139606081812</v>
      </c>
      <c r="H22" s="220">
        <f>Blad1!R101</f>
        <v>934.19487967866792</v>
      </c>
      <c r="I22" s="220">
        <f>Blad1!S101</f>
        <v>17833.256829567199</v>
      </c>
      <c r="J22" s="222">
        <f>Blad1!L101</f>
        <v>249665.59561394079</v>
      </c>
      <c r="K22" s="266">
        <f>Blad1!T101</f>
        <v>90.322580645161281</v>
      </c>
      <c r="L22" s="241">
        <f t="shared" si="2"/>
        <v>13.635478215700275</v>
      </c>
      <c r="M22" s="241">
        <f t="shared" si="3"/>
        <v>26.25</v>
      </c>
      <c r="O22" s="222">
        <f>Blad3!F19</f>
        <v>4207.5163081248993</v>
      </c>
      <c r="P22" s="258">
        <f>Blad3!N19</f>
        <v>9357.0535702853613</v>
      </c>
      <c r="Q22" s="222">
        <f t="shared" si="4"/>
        <v>143086.86434072</v>
      </c>
      <c r="R22" s="269">
        <f>(P22/(H22*'Arnoud VDAB Pensioenopbouw'!$M$15))*100</f>
        <v>64.620443617709356</v>
      </c>
      <c r="S22" s="241">
        <f t="shared" si="0"/>
        <v>9.7553750672796706</v>
      </c>
      <c r="T22" s="241">
        <f t="shared" si="1"/>
        <v>18.78031642639678</v>
      </c>
    </row>
    <row r="23" spans="2:20" x14ac:dyDescent="0.3">
      <c r="B23" s="224">
        <v>38</v>
      </c>
      <c r="C23" s="220">
        <f>Blad1!D102</f>
        <v>43992.840917844362</v>
      </c>
      <c r="D23" s="220">
        <f>Blad1!F102</f>
        <v>22851.939961220363</v>
      </c>
      <c r="E23" s="220">
        <f>Blad1!P102</f>
        <v>428.4738742728818</v>
      </c>
      <c r="F23" s="247">
        <f>D23*('Arnoud VDAB Pensioenopbouw'!$D$19/100)</f>
        <v>5998.634239820346</v>
      </c>
      <c r="H23" s="220">
        <f>Blad1!R102</f>
        <v>927.82743648709015</v>
      </c>
      <c r="I23" s="220">
        <f>Blad1!S102</f>
        <v>18761.084266054288</v>
      </c>
      <c r="J23" s="222">
        <f>Blad1!L102</f>
        <v>262655.17972476006</v>
      </c>
      <c r="K23" s="266">
        <f>Blad1!T102</f>
        <v>90.32258064516131</v>
      </c>
      <c r="L23" s="241">
        <f t="shared" si="2"/>
        <v>13.635478215700278</v>
      </c>
      <c r="M23" s="241">
        <f t="shared" si="3"/>
        <v>26.25</v>
      </c>
      <c r="O23" s="222">
        <f>Blad3!F20</f>
        <v>4407.5416334131569</v>
      </c>
      <c r="P23" s="258">
        <f>Blad3!N20</f>
        <v>9544.1946416910687</v>
      </c>
      <c r="Q23" s="222">
        <f t="shared" si="4"/>
        <v>152631.05898241108</v>
      </c>
      <c r="R23" s="269">
        <f>(P23/(H23*'Arnoud VDAB Pensioenopbouw'!$M$15))*100</f>
        <v>66.365195595387476</v>
      </c>
      <c r="S23" s="241">
        <f t="shared" si="0"/>
        <v>10.01877019409622</v>
      </c>
      <c r="T23" s="241">
        <f t="shared" si="1"/>
        <v>19.287384969909489</v>
      </c>
    </row>
    <row r="24" spans="2:20" x14ac:dyDescent="0.3">
      <c r="B24" s="224">
        <v>39</v>
      </c>
      <c r="C24" s="220">
        <f>Blad1!D103</f>
        <v>44872.697736201248</v>
      </c>
      <c r="D24" s="220">
        <f>Blad1!F103</f>
        <v>23308.97876044477</v>
      </c>
      <c r="E24" s="220">
        <f>Blad1!P103</f>
        <v>437.04335175833944</v>
      </c>
      <c r="F24" s="247">
        <f>D24*('Arnoud VDAB Pensioenopbouw'!$D$19/100)</f>
        <v>6118.6069246167526</v>
      </c>
      <c r="H24" s="220">
        <f>Blad1!R103</f>
        <v>921.5033935899047</v>
      </c>
      <c r="I24" s="220">
        <f>Blad1!S103</f>
        <v>19682.587659644192</v>
      </c>
      <c r="J24" s="222">
        <f>Blad1!L103</f>
        <v>275556.22723501874</v>
      </c>
      <c r="K24" s="266">
        <f>Blad1!T103</f>
        <v>90.322580645161295</v>
      </c>
      <c r="L24" s="241">
        <f t="shared" si="2"/>
        <v>13.635478215700278</v>
      </c>
      <c r="M24" s="241">
        <f t="shared" si="3"/>
        <v>26.25</v>
      </c>
      <c r="O24" s="222">
        <f>Blad3!F21</f>
        <v>4617.0761626656185</v>
      </c>
      <c r="P24" s="258">
        <f>Blad3!N21</f>
        <v>9735.0785345248933</v>
      </c>
      <c r="Q24" s="222">
        <f t="shared" si="4"/>
        <v>162366.13751693597</v>
      </c>
      <c r="R24" s="269">
        <f>(P24/(H24*'Arnoud VDAB Pensioenopbouw'!$M$15))*100</f>
        <v>68.157055876462962</v>
      </c>
      <c r="S24" s="241">
        <f t="shared" si="0"/>
        <v>10.28927698933682</v>
      </c>
      <c r="T24" s="241">
        <f t="shared" si="1"/>
        <v>19.808144364097046</v>
      </c>
    </row>
    <row r="25" spans="2:20" x14ac:dyDescent="0.3">
      <c r="B25" s="225">
        <v>40</v>
      </c>
      <c r="C25" s="219">
        <f>Blad1!D104</f>
        <v>45770.151690925275</v>
      </c>
      <c r="D25" s="219">
        <f>Blad1!F104</f>
        <v>23775.158335653668</v>
      </c>
      <c r="E25" s="219">
        <f>Blad1!P104</f>
        <v>445.78421879350628</v>
      </c>
      <c r="F25" s="244">
        <f>D25*('Arnoud VDAB Pensioenopbouw'!$D$19/100)</f>
        <v>6240.9790631090882</v>
      </c>
      <c r="H25" s="219">
        <f>Blad1!R104</f>
        <v>915.22245517205738</v>
      </c>
      <c r="I25" s="219">
        <f>Blad1!S104</f>
        <v>20597.81011481625</v>
      </c>
      <c r="J25" s="221">
        <f>Blad1!L104</f>
        <v>288369.34160742757</v>
      </c>
      <c r="K25" s="242">
        <f>Blad1!T104</f>
        <v>90.322580645161281</v>
      </c>
      <c r="L25" s="242">
        <f t="shared" si="2"/>
        <v>13.635478215700278</v>
      </c>
      <c r="M25" s="242">
        <f t="shared" si="3"/>
        <v>26.25</v>
      </c>
      <c r="O25" s="221">
        <f>Blad3!F22</f>
        <v>4836.5719634387424</v>
      </c>
      <c r="P25" s="236">
        <f>Blad3!N22</f>
        <v>9929.7801052153918</v>
      </c>
      <c r="Q25" s="221">
        <f t="shared" si="4"/>
        <v>172295.91762215135</v>
      </c>
      <c r="R25" s="242">
        <f>(P25/(H25*'Arnoud VDAB Pensioenopbouw'!$M$15))*100</f>
        <v>69.997296385127456</v>
      </c>
      <c r="S25" s="242">
        <f t="shared" si="0"/>
        <v>10.567087468048914</v>
      </c>
      <c r="T25" s="242">
        <f t="shared" si="1"/>
        <v>20.342964261927666</v>
      </c>
    </row>
    <row r="26" spans="2:20" x14ac:dyDescent="0.3">
      <c r="B26" s="224">
        <v>41</v>
      </c>
      <c r="C26" s="220">
        <f>Blad1!D105</f>
        <v>46685.554724743779</v>
      </c>
      <c r="D26" s="220">
        <f>Blad1!F105</f>
        <v>24250.66150236674</v>
      </c>
      <c r="E26" s="220">
        <f>Blad1!P105</f>
        <v>454.69990316937634</v>
      </c>
      <c r="F26" s="247">
        <f>D26*('Arnoud VDAB Pensioenopbouw'!$D$19/100)</f>
        <v>6365.7986443712698</v>
      </c>
      <c r="H26" s="220">
        <f>Blad1!R105</f>
        <v>908.98432743475996</v>
      </c>
      <c r="I26" s="220">
        <f>Blad1!S105</f>
        <v>21506.794442251008</v>
      </c>
      <c r="J26" s="222">
        <f>Blad1!L105</f>
        <v>301095.12219151424</v>
      </c>
      <c r="K26" s="266">
        <f>Blad1!T105</f>
        <v>90.32258064516131</v>
      </c>
      <c r="L26" s="241">
        <f t="shared" si="2"/>
        <v>13.635478215700278</v>
      </c>
      <c r="M26" s="241">
        <f t="shared" si="3"/>
        <v>26.25</v>
      </c>
      <c r="O26" s="222">
        <f>Blad3!F23</f>
        <v>5066.5025945806183</v>
      </c>
      <c r="P26" s="258">
        <f>Blad3!N23</f>
        <v>10128.375707319696</v>
      </c>
      <c r="Q26" s="222">
        <f t="shared" si="4"/>
        <v>182424.29332947105</v>
      </c>
      <c r="R26" s="269">
        <f>(P26/(H26*'Arnoud VDAB Pensioenopbouw'!$M$15))*100</f>
        <v>71.887223387525864</v>
      </c>
      <c r="S26" s="241">
        <f t="shared" si="0"/>
        <v>10.85239882968623</v>
      </c>
      <c r="T26" s="241">
        <f t="shared" si="1"/>
        <v>20.892224296999707</v>
      </c>
    </row>
    <row r="27" spans="2:20" x14ac:dyDescent="0.3">
      <c r="B27" s="224">
        <v>42</v>
      </c>
      <c r="C27" s="220">
        <f>Blad1!D106</f>
        <v>47619.265819238659</v>
      </c>
      <c r="D27" s="220">
        <f>Blad1!F106</f>
        <v>24735.674732414078</v>
      </c>
      <c r="E27" s="220">
        <f>Blad1!P106</f>
        <v>463.79390123276397</v>
      </c>
      <c r="F27" s="247">
        <f>D27*('Arnoud VDAB Pensioenopbouw'!$D$19/100)</f>
        <v>6493.1146172586959</v>
      </c>
      <c r="H27" s="220">
        <f>Blad1!R106</f>
        <v>902.78871858174818</v>
      </c>
      <c r="I27" s="220">
        <f>Blad1!S106</f>
        <v>22409.583160832757</v>
      </c>
      <c r="J27" s="222">
        <f>Blad1!L106</f>
        <v>313734.16425165872</v>
      </c>
      <c r="K27" s="266">
        <f>Blad1!T106</f>
        <v>90.322580645161295</v>
      </c>
      <c r="L27" s="241">
        <f t="shared" si="2"/>
        <v>13.635478215700278</v>
      </c>
      <c r="M27" s="241">
        <f t="shared" si="3"/>
        <v>26.25</v>
      </c>
      <c r="O27" s="222">
        <f>Blad3!F24</f>
        <v>5307.3641279269814</v>
      </c>
      <c r="P27" s="258">
        <f>Blad3!N24</f>
        <v>10330.943221466092</v>
      </c>
      <c r="Q27" s="222">
        <f t="shared" si="4"/>
        <v>192755.23655093714</v>
      </c>
      <c r="R27" s="269">
        <f>(P27/(H27*'Arnoud VDAB Pensioenopbouw'!$M$15))*100</f>
        <v>73.828178418989083</v>
      </c>
      <c r="S27" s="241">
        <f t="shared" si="0"/>
        <v>11.145413598087758</v>
      </c>
      <c r="T27" s="241">
        <f t="shared" si="1"/>
        <v>21.456314353018698</v>
      </c>
    </row>
    <row r="28" spans="2:20" x14ac:dyDescent="0.3">
      <c r="B28" s="224">
        <v>43</v>
      </c>
      <c r="C28" s="220">
        <f>Blad1!D107</f>
        <v>48571.651135623433</v>
      </c>
      <c r="D28" s="220">
        <f>Blad1!F107</f>
        <v>25230.388227062362</v>
      </c>
      <c r="E28" s="220">
        <f>Blad1!P107</f>
        <v>473.06977925741927</v>
      </c>
      <c r="F28" s="247">
        <f>D28*('Arnoud VDAB Pensioenopbouw'!$D$19/100)</f>
        <v>6622.9769096038699</v>
      </c>
      <c r="H28" s="220">
        <f>Blad1!R107</f>
        <v>896.63533880563125</v>
      </c>
      <c r="I28" s="220">
        <f>Blad1!S107</f>
        <v>23306.218499638388</v>
      </c>
      <c r="J28" s="222">
        <f>Blad1!L107</f>
        <v>326287.05899493757</v>
      </c>
      <c r="K28" s="266">
        <f>Blad1!T107</f>
        <v>90.322580645161281</v>
      </c>
      <c r="L28" s="241">
        <f t="shared" si="2"/>
        <v>13.635478215700278</v>
      </c>
      <c r="M28" s="241">
        <f t="shared" si="3"/>
        <v>26.25</v>
      </c>
      <c r="O28" s="222">
        <f>Blad3!F25</f>
        <v>5559.6762185686293</v>
      </c>
      <c r="P28" s="258">
        <f>Blad3!N25</f>
        <v>10537.562085895413</v>
      </c>
      <c r="Q28" s="222">
        <f t="shared" si="4"/>
        <v>203292.79863683257</v>
      </c>
      <c r="R28" s="269">
        <f>(P28/(H28*'Arnoud VDAB Pensioenopbouw'!$M$15))*100</f>
        <v>75.82153923630176</v>
      </c>
      <c r="S28" s="241">
        <f t="shared" si="0"/>
        <v>11.446339765236125</v>
      </c>
      <c r="T28" s="241">
        <f t="shared" si="1"/>
        <v>22.035634840550198</v>
      </c>
    </row>
    <row r="29" spans="2:20" x14ac:dyDescent="0.3">
      <c r="B29" s="224">
        <v>44</v>
      </c>
      <c r="C29" s="220">
        <f>Blad1!D108</f>
        <v>49543.0841583359</v>
      </c>
      <c r="D29" s="220">
        <f>Blad1!F108</f>
        <v>25734.995991603606</v>
      </c>
      <c r="E29" s="220">
        <f>Blad1!P108</f>
        <v>482.53117484256762</v>
      </c>
      <c r="F29" s="247">
        <f>D29*('Arnoud VDAB Pensioenopbouw'!$D$19/100)</f>
        <v>6755.4364477959471</v>
      </c>
      <c r="H29" s="220">
        <f>Blad1!R108</f>
        <v>890.52390027433682</v>
      </c>
      <c r="I29" s="220">
        <f>Blad1!S108</f>
        <v>24196.742399912724</v>
      </c>
      <c r="J29" s="222">
        <f>Blad1!L108</f>
        <v>338754.39359877829</v>
      </c>
      <c r="K29" s="266">
        <f>Blad1!T108</f>
        <v>90.322580645161281</v>
      </c>
      <c r="L29" s="241">
        <f t="shared" si="2"/>
        <v>13.635478215700278</v>
      </c>
      <c r="M29" s="241">
        <f t="shared" si="3"/>
        <v>26.25</v>
      </c>
      <c r="O29" s="222">
        <f>Blad3!F26</f>
        <v>5823.9832259993818</v>
      </c>
      <c r="P29" s="258">
        <f>Blad3!N26</f>
        <v>10748.313327613321</v>
      </c>
      <c r="Q29" s="222">
        <f t="shared" si="4"/>
        <v>214041.11196444588</v>
      </c>
      <c r="R29" s="269">
        <f>(P29/(H29*'Arnoud VDAB Pensioenopbouw'!$M$15))*100</f>
        <v>77.868720795681895</v>
      </c>
      <c r="S29" s="241">
        <f t="shared" si="0"/>
        <v>11.755390938897502</v>
      </c>
      <c r="T29" s="241">
        <f t="shared" si="1"/>
        <v>22.630596981245056</v>
      </c>
    </row>
    <row r="30" spans="2:20" x14ac:dyDescent="0.3">
      <c r="B30" s="224">
        <v>45</v>
      </c>
      <c r="C30" s="220">
        <f>Blad1!D109</f>
        <v>50533.945841502617</v>
      </c>
      <c r="D30" s="220">
        <f>Blad1!F109</f>
        <v>26249.695911435676</v>
      </c>
      <c r="E30" s="220">
        <f>Blad1!P109</f>
        <v>492.18179833941889</v>
      </c>
      <c r="F30" s="247">
        <f>D30*('Arnoud VDAB Pensioenopbouw'!$D$19/100)</f>
        <v>6890.5451767518653</v>
      </c>
      <c r="H30" s="220">
        <f>Blad1!R109</f>
        <v>884.454117117647</v>
      </c>
      <c r="I30" s="220">
        <f>Blad1!S109</f>
        <v>25081.19651703037</v>
      </c>
      <c r="J30" s="222">
        <f>Blad1!L109</f>
        <v>351136.75123842538</v>
      </c>
      <c r="K30" s="266">
        <f>Blad1!T109</f>
        <v>90.322580645161295</v>
      </c>
      <c r="L30" s="241">
        <f t="shared" si="2"/>
        <v>13.635478215700278</v>
      </c>
      <c r="M30" s="241">
        <f t="shared" si="3"/>
        <v>26.25</v>
      </c>
      <c r="O30" s="222">
        <f>Blad3!F27</f>
        <v>6100.855388563391</v>
      </c>
      <c r="P30" s="258">
        <f>Blad3!N27</f>
        <v>10963.279594165588</v>
      </c>
      <c r="Q30" s="222">
        <f t="shared" si="4"/>
        <v>225004.39155861147</v>
      </c>
      <c r="R30" s="269">
        <f>(P30/(H30*'Arnoud VDAB Pensioenopbouw'!$M$15))*100</f>
        <v>79.971176257165325</v>
      </c>
      <c r="S30" s="241">
        <f t="shared" si="0"/>
        <v>12.072786494247731</v>
      </c>
      <c r="T30" s="241">
        <f t="shared" si="1"/>
        <v>23.241623099738671</v>
      </c>
    </row>
    <row r="31" spans="2:20" x14ac:dyDescent="0.3">
      <c r="B31" s="224">
        <v>46</v>
      </c>
      <c r="C31" s="220">
        <f>Blad1!D110</f>
        <v>51544.624758332669</v>
      </c>
      <c r="D31" s="220">
        <f>Blad1!F110</f>
        <v>26774.689829664389</v>
      </c>
      <c r="E31" s="220">
        <f>Blad1!P110</f>
        <v>502.02543430620733</v>
      </c>
      <c r="F31" s="247">
        <f>D31*('Arnoud VDAB Pensioenopbouw'!$D$19/100)</f>
        <v>7028.3560802869024</v>
      </c>
      <c r="H31" s="220">
        <f>Blad1!R110</f>
        <v>878.4257054138269</v>
      </c>
      <c r="I31" s="220">
        <f>Blad1!S110</f>
        <v>25959.622222444195</v>
      </c>
      <c r="J31" s="222">
        <f>Blad1!L110</f>
        <v>363434.71111421898</v>
      </c>
      <c r="K31" s="266">
        <f>Blad1!T110</f>
        <v>90.322580645161281</v>
      </c>
      <c r="L31" s="241">
        <f t="shared" si="2"/>
        <v>13.635478215700275</v>
      </c>
      <c r="M31" s="241">
        <f t="shared" si="3"/>
        <v>26.25</v>
      </c>
      <c r="O31" s="222">
        <f>Blad3!F28</f>
        <v>6390.8900537356931</v>
      </c>
      <c r="P31" s="258">
        <f>Blad3!N28</f>
        <v>11182.545186048897</v>
      </c>
      <c r="Q31" s="222">
        <f t="shared" si="4"/>
        <v>236186.93674466037</v>
      </c>
      <c r="R31" s="269">
        <f>(P31/(H31*'Arnoud VDAB Pensioenopbouw'!$M$15))*100</f>
        <v>82.130398016108742</v>
      </c>
      <c r="S31" s="241">
        <f t="shared" si="0"/>
        <v>12.398751729592416</v>
      </c>
      <c r="T31" s="241">
        <f t="shared" si="1"/>
        <v>23.869146923431607</v>
      </c>
    </row>
    <row r="32" spans="2:20" x14ac:dyDescent="0.3">
      <c r="B32" s="224">
        <v>47</v>
      </c>
      <c r="C32" s="220">
        <f>Blad1!D111</f>
        <v>52575.517253499325</v>
      </c>
      <c r="D32" s="220">
        <f>Blad1!F111</f>
        <v>27310.18362625768</v>
      </c>
      <c r="E32" s="220">
        <f>Blad1!P111</f>
        <v>512.06594299233143</v>
      </c>
      <c r="F32" s="247">
        <f>D32*('Arnoud VDAB Pensioenopbouw'!$D$19/100)</f>
        <v>7168.9232018926414</v>
      </c>
      <c r="H32" s="220">
        <f>Blad1!R111</f>
        <v>872.43838317634209</v>
      </c>
      <c r="I32" s="220">
        <f>Blad1!S111</f>
        <v>26832.060605620536</v>
      </c>
      <c r="J32" s="222">
        <f>Blad1!L111</f>
        <v>375648.84847868775</v>
      </c>
      <c r="K32" s="266">
        <f>Blad1!T111</f>
        <v>90.32258064516131</v>
      </c>
      <c r="L32" s="241">
        <f t="shared" si="2"/>
        <v>13.635478215700278</v>
      </c>
      <c r="M32" s="241">
        <f t="shared" si="3"/>
        <v>26.25</v>
      </c>
      <c r="O32" s="222">
        <f>Blad3!F29</f>
        <v>6694.712966890289</v>
      </c>
      <c r="P32" s="258">
        <f>Blad3!N29</f>
        <v>11406.196089769879</v>
      </c>
      <c r="Q32" s="222">
        <f t="shared" si="4"/>
        <v>247593.13283443026</v>
      </c>
      <c r="R32" s="269">
        <f>(P32/(H32*'Arnoud VDAB Pensioenopbouw'!$M$15))*100</f>
        <v>84.347918762543713</v>
      </c>
      <c r="S32" s="241">
        <f t="shared" si="0"/>
        <v>12.733518026291414</v>
      </c>
      <c r="T32" s="241">
        <f t="shared" si="1"/>
        <v>24.513613890364262</v>
      </c>
    </row>
    <row r="33" spans="2:20" x14ac:dyDescent="0.3">
      <c r="B33" s="224">
        <v>48</v>
      </c>
      <c r="C33" s="220">
        <f>Blad1!D112</f>
        <v>53627.027598569315</v>
      </c>
      <c r="D33" s="220">
        <f>Blad1!F112</f>
        <v>27856.387298782836</v>
      </c>
      <c r="E33" s="220">
        <f>Blad1!P112</f>
        <v>522.30726185217816</v>
      </c>
      <c r="F33" s="247">
        <f>D33*('Arnoud VDAB Pensioenopbouw'!$D$19/100)</f>
        <v>7312.3016659304949</v>
      </c>
      <c r="H33" s="220">
        <f>Blad1!R112</f>
        <v>866.4918703406712</v>
      </c>
      <c r="I33" s="220">
        <f>Blad1!S112</f>
        <v>27698.552475961209</v>
      </c>
      <c r="J33" s="222">
        <f>Blad1!L112</f>
        <v>387779.73466345714</v>
      </c>
      <c r="K33" s="266">
        <f>Blad1!T112</f>
        <v>90.32258064516131</v>
      </c>
      <c r="L33" s="241">
        <f t="shared" si="2"/>
        <v>13.635478215700278</v>
      </c>
      <c r="M33" s="241">
        <f t="shared" si="3"/>
        <v>26.25</v>
      </c>
      <c r="O33" s="222">
        <f>Blad3!F30</f>
        <v>7012.9796213362542</v>
      </c>
      <c r="P33" s="258">
        <f>Blad3!N30</f>
        <v>11634.32001156528</v>
      </c>
      <c r="Q33" s="222">
        <f t="shared" si="4"/>
        <v>259227.45284599555</v>
      </c>
      <c r="R33" s="269">
        <f>(P33/(H33*'Arnoud VDAB Pensioenopbouw'!$M$15))*100</f>
        <v>86.62531256913239</v>
      </c>
      <c r="S33" s="241">
        <f t="shared" si="0"/>
        <v>13.077323013001282</v>
      </c>
      <c r="T33" s="241">
        <f t="shared" si="1"/>
        <v>25.175481465404097</v>
      </c>
    </row>
    <row r="34" spans="2:20" x14ac:dyDescent="0.3">
      <c r="B34" s="224">
        <v>49</v>
      </c>
      <c r="C34" s="220">
        <f>Blad1!D113</f>
        <v>54699.568150540705</v>
      </c>
      <c r="D34" s="220">
        <f>Blad1!F113</f>
        <v>28413.515044758497</v>
      </c>
      <c r="E34" s="220">
        <f>Blad1!P113</f>
        <v>532.75340708922181</v>
      </c>
      <c r="F34" s="247">
        <f>D34*('Arnoud VDAB Pensioenopbouw'!$D$19/100)</f>
        <v>7458.5476992491058</v>
      </c>
      <c r="H34" s="220">
        <f>Blad1!R113</f>
        <v>860.58588875120233</v>
      </c>
      <c r="I34" s="220">
        <f>Blad1!S113</f>
        <v>28559.138364712413</v>
      </c>
      <c r="J34" s="222">
        <f>Blad1!L113</f>
        <v>399827.93710597395</v>
      </c>
      <c r="K34" s="266">
        <f>Blad1!T113</f>
        <v>90.322580645161281</v>
      </c>
      <c r="L34" s="241">
        <f t="shared" si="2"/>
        <v>13.635478215700278</v>
      </c>
      <c r="M34" s="241">
        <f t="shared" si="3"/>
        <v>26.25</v>
      </c>
      <c r="O34" s="222">
        <f>Blad3!F31</f>
        <v>7346.3766725345786</v>
      </c>
      <c r="P34" s="258">
        <f>Blad3!N31</f>
        <v>11867.006411796583</v>
      </c>
      <c r="Q34" s="222">
        <f t="shared" si="4"/>
        <v>271094.45925779216</v>
      </c>
      <c r="R34" s="269">
        <f>(P34/(H34*'Arnoud VDAB Pensioenopbouw'!$M$15))*100</f>
        <v>88.964196008498931</v>
      </c>
      <c r="S34" s="241">
        <f t="shared" si="0"/>
        <v>13.430410734352312</v>
      </c>
      <c r="T34" s="241">
        <f t="shared" si="1"/>
        <v>25.855219464970002</v>
      </c>
    </row>
    <row r="35" spans="2:20" x14ac:dyDescent="0.3">
      <c r="B35" s="225">
        <v>50</v>
      </c>
      <c r="C35" s="219">
        <f>Blad1!D114</f>
        <v>55793.559513551518</v>
      </c>
      <c r="D35" s="219">
        <f>Blad1!F114</f>
        <v>28981.785345653665</v>
      </c>
      <c r="E35" s="219">
        <f>Blad1!P114</f>
        <v>543.40847523100626</v>
      </c>
      <c r="F35" s="244">
        <f>D35*('Arnoud VDAB Pensioenopbouw'!$D$19/100)</f>
        <v>7607.7186532340875</v>
      </c>
      <c r="H35" s="219">
        <f>Blad1!R114</f>
        <v>854.7201621482244</v>
      </c>
      <c r="I35" s="219">
        <f>Blad1!S114</f>
        <v>29413.858526860637</v>
      </c>
      <c r="J35" s="221">
        <f>Blad1!L114</f>
        <v>411794.01937604911</v>
      </c>
      <c r="K35" s="242">
        <f>Blad1!T114</f>
        <v>90.322580645161281</v>
      </c>
      <c r="L35" s="242">
        <f t="shared" si="2"/>
        <v>13.635478215700278</v>
      </c>
      <c r="M35" s="242">
        <f t="shared" si="3"/>
        <v>26.25</v>
      </c>
      <c r="O35" s="221">
        <f>Blad3!F32</f>
        <v>7695.6234195468714</v>
      </c>
      <c r="P35" s="236">
        <f>Blad3!N32</f>
        <v>12104.346540032515</v>
      </c>
      <c r="Q35" s="221">
        <f t="shared" si="4"/>
        <v>283198.80579782469</v>
      </c>
      <c r="R35" s="242">
        <f>(P35/(H35*'Arnoud VDAB Pensioenopbouw'!$M$15))*100</f>
        <v>91.366229300728392</v>
      </c>
      <c r="S35" s="242">
        <f t="shared" si="0"/>
        <v>13.793031824179824</v>
      </c>
      <c r="T35" s="242">
        <f t="shared" si="1"/>
        <v>26.553310390524189</v>
      </c>
    </row>
    <row r="36" spans="2:20" x14ac:dyDescent="0.3">
      <c r="B36" s="224">
        <v>51</v>
      </c>
      <c r="C36" s="220">
        <f>Blad1!D115</f>
        <v>56909.430703822552</v>
      </c>
      <c r="D36" s="220">
        <f>Blad1!F115</f>
        <v>29561.42105256674</v>
      </c>
      <c r="E36" s="220">
        <f>Blad1!P115</f>
        <v>554.27664473562641</v>
      </c>
      <c r="F36" s="247">
        <f>D36*('Arnoud VDAB Pensioenopbouw'!$D$19/100)</f>
        <v>7759.8730262987701</v>
      </c>
      <c r="H36" s="220">
        <f>Blad1!R115</f>
        <v>848.89441615500391</v>
      </c>
      <c r="I36" s="220">
        <f>Blad1!S115</f>
        <v>30262.752943015639</v>
      </c>
      <c r="J36" s="222">
        <f>Blad1!L115</f>
        <v>423678.54120221914</v>
      </c>
      <c r="K36" s="266">
        <f>Blad1!T115</f>
        <v>90.322580645161295</v>
      </c>
      <c r="L36" s="241">
        <f t="shared" si="2"/>
        <v>13.635478215700278</v>
      </c>
      <c r="M36" s="241">
        <f t="shared" si="3"/>
        <v>26.25</v>
      </c>
      <c r="O36" s="222">
        <f>Blad3!F33</f>
        <v>8061.4733569121299</v>
      </c>
      <c r="P36" s="258">
        <f>Blad3!N33</f>
        <v>12346.433470833166</v>
      </c>
      <c r="Q36" s="222">
        <f t="shared" si="4"/>
        <v>295545.23926865787</v>
      </c>
      <c r="R36" s="269">
        <f>(P36/(H36*'Arnoud VDAB Pensioenopbouw'!$M$15))*100</f>
        <v>93.833117491848043</v>
      </c>
      <c r="S36" s="241">
        <f t="shared" si="0"/>
        <v>14.165443683432679</v>
      </c>
      <c r="T36" s="241">
        <f t="shared" si="1"/>
        <v>27.27024977106834</v>
      </c>
    </row>
    <row r="37" spans="2:20" x14ac:dyDescent="0.3">
      <c r="B37" s="224">
        <v>52</v>
      </c>
      <c r="C37" s="220">
        <f>Blad1!D116</f>
        <v>58047.619317899007</v>
      </c>
      <c r="D37" s="220">
        <f>Blad1!F116</f>
        <v>30152.649473618079</v>
      </c>
      <c r="E37" s="220">
        <f>Blad1!P116</f>
        <v>565.36217763033903</v>
      </c>
      <c r="F37" s="247">
        <f>D37*('Arnoud VDAB Pensioenopbouw'!$D$19/100)</f>
        <v>7915.0704868247458</v>
      </c>
      <c r="H37" s="220">
        <f>Blad1!R116</f>
        <v>843.1083782649506</v>
      </c>
      <c r="I37" s="220">
        <f>Blad1!S116</f>
        <v>31105.86132128059</v>
      </c>
      <c r="J37" s="222">
        <f>Blad1!L116</f>
        <v>435482.05849792843</v>
      </c>
      <c r="K37" s="266">
        <f>Blad1!T116</f>
        <v>90.322580645161281</v>
      </c>
      <c r="L37" s="241">
        <f t="shared" si="2"/>
        <v>13.635478215700278</v>
      </c>
      <c r="M37" s="241">
        <f t="shared" si="3"/>
        <v>26.25</v>
      </c>
      <c r="O37" s="222">
        <f>Blad3!F34</f>
        <v>8444.715800299733</v>
      </c>
      <c r="P37" s="258">
        <f>Blad3!N34</f>
        <v>12593.362140249832</v>
      </c>
      <c r="Q37" s="222">
        <f t="shared" si="4"/>
        <v>308138.60140890768</v>
      </c>
      <c r="R37" s="269">
        <f>(P37/(H37*'Arnoud VDAB Pensioenopbouw'!$M$15))*100</f>
        <v>96.36661166412793</v>
      </c>
      <c r="S37" s="241">
        <f t="shared" si="0"/>
        <v>14.547910662885362</v>
      </c>
      <c r="T37" s="241">
        <f t="shared" si="1"/>
        <v>28.00654651488718</v>
      </c>
    </row>
    <row r="38" spans="2:20" x14ac:dyDescent="0.3">
      <c r="B38" s="224">
        <v>53</v>
      </c>
      <c r="C38" s="220">
        <f>Blad1!D117</f>
        <v>59208.571704256989</v>
      </c>
      <c r="D38" s="220">
        <f>Blad1!F117</f>
        <v>30755.702463090442</v>
      </c>
      <c r="E38" s="220">
        <f>Blad1!P117</f>
        <v>576.66942118294583</v>
      </c>
      <c r="F38" s="247">
        <f>D38*('Arnoud VDAB Pensioenopbouw'!$D$19/100)</f>
        <v>8073.3718965612416</v>
      </c>
      <c r="H38" s="220">
        <f>Blad1!R117</f>
        <v>837.36177782887023</v>
      </c>
      <c r="I38" s="220">
        <f>Blad1!S117</f>
        <v>31943.223099109462</v>
      </c>
      <c r="J38" s="222">
        <f>Blad1!L117</f>
        <v>447205.1233875326</v>
      </c>
      <c r="K38" s="266">
        <f>Blad1!T117</f>
        <v>90.322580645161295</v>
      </c>
      <c r="L38" s="241">
        <f t="shared" si="2"/>
        <v>13.635478215700282</v>
      </c>
      <c r="M38" s="241">
        <f t="shared" si="3"/>
        <v>26.25</v>
      </c>
      <c r="O38" s="222">
        <f>Blad3!F35</f>
        <v>8846.1775894459806</v>
      </c>
      <c r="P38" s="258">
        <f>Blad3!N35</f>
        <v>12845.229383054828</v>
      </c>
      <c r="Q38" s="222">
        <f t="shared" si="4"/>
        <v>320983.83079196251</v>
      </c>
      <c r="R38" s="269">
        <f>(P38/(H38*'Arnoud VDAB Pensioenopbouw'!$M$15))*100</f>
        <v>98.968510179059379</v>
      </c>
      <c r="S38" s="241">
        <f t="shared" si="0"/>
        <v>14.940704250783263</v>
      </c>
      <c r="T38" s="241">
        <f t="shared" si="1"/>
        <v>28.762723270789131</v>
      </c>
    </row>
    <row r="39" spans="2:20" x14ac:dyDescent="0.3">
      <c r="B39" s="224">
        <v>54</v>
      </c>
      <c r="C39" s="220">
        <f>Blad1!D118</f>
        <v>60392.743138342128</v>
      </c>
      <c r="D39" s="220">
        <f>Blad1!F118</f>
        <v>31370.816512352249</v>
      </c>
      <c r="E39" s="220">
        <f>Blad1!P118</f>
        <v>588.20280960660466</v>
      </c>
      <c r="F39" s="247">
        <f>D39*('Arnoud VDAB Pensioenopbouw'!$D$19/100)</f>
        <v>8234.8393344924662</v>
      </c>
      <c r="H39" s="220">
        <f>Blad1!R118</f>
        <v>831.65434604230529</v>
      </c>
      <c r="I39" s="220">
        <f>Blad1!S118</f>
        <v>32774.877445151767</v>
      </c>
      <c r="J39" s="222">
        <f>Blad1!L118</f>
        <v>458848.28423212486</v>
      </c>
      <c r="K39" s="266">
        <f>Blad1!T118</f>
        <v>90.322580645161295</v>
      </c>
      <c r="L39" s="241">
        <f t="shared" si="2"/>
        <v>13.635478215700282</v>
      </c>
      <c r="M39" s="241">
        <f t="shared" si="3"/>
        <v>26.25</v>
      </c>
      <c r="O39" s="222">
        <f>Blad3!F36</f>
        <v>9266.7248720482421</v>
      </c>
      <c r="P39" s="258">
        <f>Blad3!N36</f>
        <v>13102.133970715924</v>
      </c>
      <c r="Q39" s="222">
        <f t="shared" si="4"/>
        <v>334085.96476267843</v>
      </c>
      <c r="R39" s="269">
        <f>(P39/(H39*'Arnoud VDAB Pensioenopbouw'!$M$15))*100</f>
        <v>101.64065995389397</v>
      </c>
      <c r="S39" s="241">
        <f t="shared" si="0"/>
        <v>15.344103265554413</v>
      </c>
      <c r="T39" s="241">
        <f t="shared" si="1"/>
        <v>29.53931679910044</v>
      </c>
    </row>
    <row r="40" spans="2:20" x14ac:dyDescent="0.3">
      <c r="B40" s="224">
        <v>55</v>
      </c>
      <c r="C40" s="220">
        <f>Blad1!D119</f>
        <v>61600.59800110897</v>
      </c>
      <c r="D40" s="220">
        <f>Blad1!F119</f>
        <v>31998.232842599293</v>
      </c>
      <c r="E40" s="220">
        <f>Blad1!P119</f>
        <v>599.96686579873676</v>
      </c>
      <c r="F40" s="247">
        <f>D40*('Arnoud VDAB Pensioenopbouw'!$D$19/100)</f>
        <v>8399.5361211823147</v>
      </c>
      <c r="H40" s="220">
        <f>Blad1!R119</f>
        <v>825.9858159329616</v>
      </c>
      <c r="I40" s="220">
        <f>Blad1!S119</f>
        <v>33600.863261084727</v>
      </c>
      <c r="J40" s="222">
        <f>Blad1!L119</f>
        <v>470412.08565518633</v>
      </c>
      <c r="K40" s="266">
        <f>Blad1!T119</f>
        <v>90.322580645161281</v>
      </c>
      <c r="L40" s="241">
        <f t="shared" si="2"/>
        <v>13.635478215700278</v>
      </c>
      <c r="M40" s="241">
        <f t="shared" si="3"/>
        <v>26.25</v>
      </c>
      <c r="O40" s="222">
        <f>Blad3!F37</f>
        <v>9707.2649724654148</v>
      </c>
      <c r="P40" s="258">
        <f>Blad3!N37</f>
        <v>13364.176650130245</v>
      </c>
      <c r="Q40" s="222">
        <f t="shared" si="4"/>
        <v>347450.14141280868</v>
      </c>
      <c r="R40" s="269">
        <f>(P40/(H40*'Arnoud VDAB Pensioenopbouw'!$M$15))*100</f>
        <v>104.38495777264912</v>
      </c>
      <c r="S40" s="241">
        <f t="shared" si="0"/>
        <v>15.758394053724379</v>
      </c>
      <c r="T40" s="241">
        <f t="shared" si="1"/>
        <v>30.336878352676148</v>
      </c>
    </row>
    <row r="41" spans="2:20" x14ac:dyDescent="0.3">
      <c r="B41" s="224">
        <v>56</v>
      </c>
      <c r="C41" s="220">
        <f>Blad1!D120</f>
        <v>62832.609961131151</v>
      </c>
      <c r="D41" s="220">
        <f>Blad1!F120</f>
        <v>32638.197499451278</v>
      </c>
      <c r="E41" s="220">
        <f>Blad1!P120</f>
        <v>611.96620311471145</v>
      </c>
      <c r="F41" s="247">
        <f>D41*('Arnoud VDAB Pensioenopbouw'!$D$19/100)</f>
        <v>8567.5268436059614</v>
      </c>
      <c r="H41" s="220">
        <f>Blad1!R120</f>
        <v>820.35592234821888</v>
      </c>
      <c r="I41" s="220">
        <f>Blad1!S120</f>
        <v>34421.219183432942</v>
      </c>
      <c r="J41" s="222">
        <f>Blad1!L120</f>
        <v>481897.0685680614</v>
      </c>
      <c r="K41" s="266">
        <f>Blad1!T120</f>
        <v>90.322580645161295</v>
      </c>
      <c r="L41" s="241">
        <f t="shared" si="2"/>
        <v>13.635478215700278</v>
      </c>
      <c r="M41" s="241">
        <f t="shared" si="3"/>
        <v>26.25</v>
      </c>
      <c r="O41" s="222">
        <f>Blad3!F38</f>
        <v>10168.748349256421</v>
      </c>
      <c r="P41" s="258">
        <f>Blad3!N38</f>
        <v>13631.460183132851</v>
      </c>
      <c r="Q41" s="222">
        <f t="shared" si="4"/>
        <v>361081.60159594152</v>
      </c>
      <c r="R41" s="269">
        <f>(P41/(H41*'Arnoud VDAB Pensioenopbouw'!$M$15))*100</f>
        <v>107.20335163251065</v>
      </c>
      <c r="S41" s="241">
        <f t="shared" si="0"/>
        <v>16.183870693174939</v>
      </c>
      <c r="T41" s="241">
        <f t="shared" si="1"/>
        <v>31.155974068198404</v>
      </c>
    </row>
    <row r="42" spans="2:20" x14ac:dyDescent="0.3">
      <c r="B42" s="224">
        <v>57</v>
      </c>
      <c r="C42" s="220">
        <f>Blad1!D121</f>
        <v>64089.262160353777</v>
      </c>
      <c r="D42" s="220">
        <f>Blad1!F121</f>
        <v>33290.961449440307</v>
      </c>
      <c r="E42" s="220">
        <f>Blad1!P121</f>
        <v>624.20552717700571</v>
      </c>
      <c r="F42" s="247">
        <f>D42*('Arnoud VDAB Pensioenopbouw'!$D$19/100)</f>
        <v>8738.8773804780812</v>
      </c>
      <c r="H42" s="220">
        <f>Blad1!R121</f>
        <v>814.76440194272971</v>
      </c>
      <c r="I42" s="220">
        <f>Blad1!S121</f>
        <v>35235.983585375674</v>
      </c>
      <c r="J42" s="222">
        <f>Blad1!L121</f>
        <v>493303.7701952596</v>
      </c>
      <c r="K42" s="266">
        <f>Blad1!T121</f>
        <v>90.322580645161295</v>
      </c>
      <c r="L42" s="241">
        <f t="shared" si="2"/>
        <v>13.635478215700278</v>
      </c>
      <c r="M42" s="241">
        <f t="shared" si="3"/>
        <v>26.25</v>
      </c>
      <c r="O42" s="222">
        <f>Blad3!F39</f>
        <v>10652.17064578007</v>
      </c>
      <c r="P42" s="258">
        <f>Blad3!N39</f>
        <v>13904.089386795506</v>
      </c>
      <c r="Q42" s="222">
        <f t="shared" si="4"/>
        <v>374985.69098273705</v>
      </c>
      <c r="R42" s="269">
        <f>(P42/(H42*'Arnoud VDAB Pensioenopbouw'!$M$15))*100</f>
        <v>110.0978421265884</v>
      </c>
      <c r="S42" s="241">
        <f t="shared" si="0"/>
        <v>16.620835201890657</v>
      </c>
      <c r="T42" s="241">
        <f t="shared" si="1"/>
        <v>31.997185368039759</v>
      </c>
    </row>
    <row r="43" spans="2:20" x14ac:dyDescent="0.3">
      <c r="B43" s="224">
        <v>58</v>
      </c>
      <c r="C43" s="220">
        <f>Blad1!D122</f>
        <v>65371.047403560857</v>
      </c>
      <c r="D43" s="220">
        <f>Blad1!F122</f>
        <v>33956.780678429117</v>
      </c>
      <c r="E43" s="220">
        <f>Blad1!P122</f>
        <v>636.68963772054599</v>
      </c>
      <c r="F43" s="247">
        <f>D43*('Arnoud VDAB Pensioenopbouw'!$D$19/100)</f>
        <v>8913.6549280876443</v>
      </c>
      <c r="H43" s="220">
        <f>Blad1!R122</f>
        <v>809.2109931660998</v>
      </c>
      <c r="I43" s="220">
        <f>Blad1!S122</f>
        <v>36045.194578541777</v>
      </c>
      <c r="J43" s="222">
        <f>Blad1!L122</f>
        <v>504632.72409958497</v>
      </c>
      <c r="K43" s="266">
        <f>Blad1!T122</f>
        <v>90.322580645161295</v>
      </c>
      <c r="L43" s="241">
        <f t="shared" si="2"/>
        <v>13.635478215700282</v>
      </c>
      <c r="M43" s="241">
        <f t="shared" si="3"/>
        <v>26.25</v>
      </c>
      <c r="O43" s="222">
        <f>Blad3!F40</f>
        <v>11158.574838280454</v>
      </c>
      <c r="P43" s="258">
        <f>Blad3!N40</f>
        <v>14182.171174531417</v>
      </c>
      <c r="Q43" s="222">
        <f t="shared" si="4"/>
        <v>389167.86215726845</v>
      </c>
      <c r="R43" s="269">
        <f>(P43/(H43*'Arnoud VDAB Pensioenopbouw'!$M$15))*100</f>
        <v>113.07048386400626</v>
      </c>
      <c r="S43" s="241">
        <f t="shared" si="0"/>
        <v>17.069597752341704</v>
      </c>
      <c r="T43" s="241">
        <f t="shared" si="1"/>
        <v>32.861109372976827</v>
      </c>
    </row>
    <row r="44" spans="2:20" x14ac:dyDescent="0.3">
      <c r="B44" s="224">
        <v>59</v>
      </c>
      <c r="C44" s="220">
        <f>Blad1!D123</f>
        <v>66678.46835163208</v>
      </c>
      <c r="D44" s="220">
        <f>Blad1!F123</f>
        <v>34635.91629199771</v>
      </c>
      <c r="E44" s="220">
        <f>Blad1!P123</f>
        <v>649.42343047495706</v>
      </c>
      <c r="F44" s="247">
        <f>D44*('Arnoud VDAB Pensioenopbouw'!$D$19/100)</f>
        <v>9091.9280266493988</v>
      </c>
      <c r="H44" s="220">
        <f>Blad1!R123</f>
        <v>803.69543625065444</v>
      </c>
      <c r="I44" s="220">
        <f>Blad1!S123</f>
        <v>36848.890014792429</v>
      </c>
      <c r="J44" s="222">
        <f>Blad1!L123</f>
        <v>515884.46020709415</v>
      </c>
      <c r="K44" s="266">
        <f>Blad1!T123</f>
        <v>90.322580645161295</v>
      </c>
      <c r="L44" s="241">
        <f t="shared" si="2"/>
        <v>13.635478215700282</v>
      </c>
      <c r="M44" s="241">
        <f t="shared" si="3"/>
        <v>26.25</v>
      </c>
      <c r="O44" s="222">
        <f>Blad3!F41</f>
        <v>11689.053486092309</v>
      </c>
      <c r="P44" s="258">
        <f>Blad3!N41</f>
        <v>14465.814598022051</v>
      </c>
      <c r="Q44" s="222">
        <f t="shared" si="4"/>
        <v>403633.67675529048</v>
      </c>
      <c r="R44" s="269">
        <f>(P44/(H44*'Arnoud VDAB Pensioenopbouw'!$M$15))*100</f>
        <v>116.12338692833444</v>
      </c>
      <c r="S44" s="241">
        <f t="shared" si="0"/>
        <v>17.530476891654931</v>
      </c>
      <c r="T44" s="241">
        <f t="shared" si="1"/>
        <v>33.748359326047193</v>
      </c>
    </row>
    <row r="45" spans="2:20" x14ac:dyDescent="0.3">
      <c r="B45" s="252">
        <v>60</v>
      </c>
      <c r="C45" s="219">
        <f>Blad1!D124</f>
        <v>68012.037718664724</v>
      </c>
      <c r="D45" s="219">
        <f>Blad1!F124</f>
        <v>35328.634617837663</v>
      </c>
      <c r="E45" s="219">
        <f>Blad1!P124</f>
        <v>662.41189908445619</v>
      </c>
      <c r="F45" s="244">
        <f>D45*('Arnoud VDAB Pensioenopbouw'!$D$19/100)</f>
        <v>9273.7665871823865</v>
      </c>
      <c r="H45" s="219">
        <f>Blad1!R124</f>
        <v>798.21747319928681</v>
      </c>
      <c r="I45" s="219">
        <f>Blad1!S124</f>
        <v>37647.107487991714</v>
      </c>
      <c r="J45" s="221">
        <f>Blad1!L124</f>
        <v>527059.50483188417</v>
      </c>
      <c r="K45" s="242">
        <f>Blad1!T124</f>
        <v>90.322580645161295</v>
      </c>
      <c r="L45" s="242">
        <f t="shared" si="2"/>
        <v>13.635478215700282</v>
      </c>
      <c r="M45" s="242">
        <f t="shared" si="3"/>
        <v>26.25</v>
      </c>
      <c r="O45" s="221">
        <f>Blad3!F42</f>
        <v>12244.751088821136</v>
      </c>
      <c r="P45" s="236">
        <f>Blad3!N42</f>
        <v>14755.130889982491</v>
      </c>
      <c r="Q45" s="221">
        <f t="shared" si="4"/>
        <v>418388.80764527299</v>
      </c>
      <c r="R45" s="242">
        <f>(P45/(H45*'Arnoud VDAB Pensioenopbouw'!$M$15))*100</f>
        <v>119.25871837539945</v>
      </c>
      <c r="S45" s="242">
        <f t="shared" si="0"/>
        <v>18.003799767729614</v>
      </c>
      <c r="T45" s="242">
        <f t="shared" si="1"/>
        <v>34.659565027850469</v>
      </c>
    </row>
    <row r="46" spans="2:20" x14ac:dyDescent="0.3">
      <c r="B46" s="225">
        <v>61</v>
      </c>
      <c r="C46" s="248">
        <f>Blad1!D125</f>
        <v>69372.278473038023</v>
      </c>
      <c r="D46" s="248">
        <f>Blad1!F125</f>
        <v>36035.207310194419</v>
      </c>
      <c r="E46" s="248">
        <f>Blad1!P125</f>
        <v>675.66013706614535</v>
      </c>
      <c r="F46" s="223">
        <f>D46*('Arnoud VDAB Pensioenopbouw'!$D$19/100)</f>
        <v>9459.2419189260345</v>
      </c>
      <c r="H46" s="248">
        <f>Blad1!R125</f>
        <v>792.77684777339118</v>
      </c>
      <c r="I46" s="248">
        <f>Blad1!S125</f>
        <v>38439.884335765106</v>
      </c>
      <c r="J46" s="250">
        <f>Blad1!L125</f>
        <v>538158.38070071163</v>
      </c>
      <c r="K46" s="266">
        <f>Blad1!T125</f>
        <v>90.322580645161281</v>
      </c>
      <c r="L46" s="249">
        <f>IF(($H46&lt;=0),0,((F46/C46)*100))</f>
        <v>13.635478215700282</v>
      </c>
      <c r="M46" s="249">
        <f>IF(($H46&lt;=0),0,((F46/D46)*100))</f>
        <v>26.25</v>
      </c>
      <c r="O46" s="250">
        <f>Blad3!F43</f>
        <v>12826.866555583691</v>
      </c>
      <c r="P46" s="259">
        <f>Blad3!N43</f>
        <v>15050.233507782139</v>
      </c>
      <c r="Q46" s="250">
        <f t="shared" ref="Q46:Q56" si="5">IF(($H46&lt;=0),0,((Q45+P46)*1))</f>
        <v>433439.04115305515</v>
      </c>
      <c r="R46" s="269">
        <f>IF(($H46&lt;=0),0,(P46/(H46*'Arnoud VDAB Pensioenopbouw'!$M$15))*100)</f>
        <v>122.47870377153521</v>
      </c>
      <c r="S46" s="249">
        <f t="shared" ref="S46:S56" si="6">IF(($H46&lt;=0),0,((O46/C46)*100))</f>
        <v>18.489902361458306</v>
      </c>
      <c r="T46" s="249">
        <f t="shared" ref="T46:T56" si="7">IF(($H46&lt;=0),0,((O46/D46)*100))</f>
        <v>35.59537328360242</v>
      </c>
    </row>
    <row r="47" spans="2:20" x14ac:dyDescent="0.3">
      <c r="B47" s="225">
        <v>62</v>
      </c>
      <c r="C47" s="248">
        <f>Blad1!D126</f>
        <v>70759.724042498783</v>
      </c>
      <c r="D47" s="248">
        <f>Blad1!F126</f>
        <v>36755.911456398309</v>
      </c>
      <c r="E47" s="248">
        <f>Blad1!P126</f>
        <v>689.17333980746832</v>
      </c>
      <c r="F47" s="223">
        <f>D47*('Arnoud VDAB Pensioenopbouw'!$D$19/100)</f>
        <v>9648.4267573045563</v>
      </c>
      <c r="H47" s="248">
        <f>Blad1!R126</f>
        <v>787.3733054808755</v>
      </c>
      <c r="I47" s="248">
        <f>Blad1!S126</f>
        <v>39227.257641245982</v>
      </c>
      <c r="J47" s="250">
        <f>Blad1!L126</f>
        <v>549181.60697744391</v>
      </c>
      <c r="K47" s="266">
        <f>Blad1!T126</f>
        <v>90.322580645161281</v>
      </c>
      <c r="L47" s="249">
        <f t="shared" ref="L47:L56" si="8">IF((H47&lt;=0),0,((F47/C47)*100))</f>
        <v>13.635478215700282</v>
      </c>
      <c r="M47" s="249">
        <f t="shared" ref="M47:M56" si="9">IF(($H47&lt;=0),0,((F47/D47)*100))</f>
        <v>26.25</v>
      </c>
      <c r="O47" s="250">
        <f>Blad3!F44</f>
        <v>13436.65579163614</v>
      </c>
      <c r="P47" s="259">
        <f>Blad3!N44</f>
        <v>15351.238177937785</v>
      </c>
      <c r="Q47" s="250">
        <f t="shared" si="5"/>
        <v>448790.27933099295</v>
      </c>
      <c r="R47" s="269">
        <f>IF(($H47&lt;=0),0,(P47/(H47*'Arnoud VDAB Pensioenopbouw'!$M$15))*100)</f>
        <v>125.78562877336665</v>
      </c>
      <c r="S47" s="249">
        <f t="shared" si="6"/>
        <v>18.989129725217683</v>
      </c>
      <c r="T47" s="249">
        <f t="shared" si="7"/>
        <v>36.556448362259687</v>
      </c>
    </row>
    <row r="48" spans="2:20" x14ac:dyDescent="0.3">
      <c r="B48" s="225">
        <v>63</v>
      </c>
      <c r="C48" s="248">
        <f>Blad1!D127</f>
        <v>72174.918523348766</v>
      </c>
      <c r="D48" s="248">
        <f>Blad1!F127</f>
        <v>37491.029685526279</v>
      </c>
      <c r="E48" s="248">
        <f>Blad1!P127</f>
        <v>702.95680660361768</v>
      </c>
      <c r="F48" s="223">
        <f>D48*('Arnoud VDAB Pensioenopbouw'!$D$19/100)</f>
        <v>9841.3952924506484</v>
      </c>
      <c r="H48" s="248">
        <f>Blad1!R127</f>
        <v>782.00659356425808</v>
      </c>
      <c r="I48" s="248">
        <f>Blad1!S127</f>
        <v>40009.264234810238</v>
      </c>
      <c r="J48" s="250">
        <f>Blad1!L127</f>
        <v>560129.69928734354</v>
      </c>
      <c r="K48" s="266">
        <f>Blad1!T127</f>
        <v>90.322580645161295</v>
      </c>
      <c r="L48" s="249">
        <f t="shared" si="8"/>
        <v>13.635478215700282</v>
      </c>
      <c r="M48" s="249">
        <f t="shared" si="9"/>
        <v>26.25</v>
      </c>
      <c r="O48" s="250">
        <f>Blad3!F45</f>
        <v>14075.434407970526</v>
      </c>
      <c r="P48" s="259">
        <f>Blad3!N45</f>
        <v>15658.262941496545</v>
      </c>
      <c r="Q48" s="250">
        <f t="shared" si="5"/>
        <v>464448.54227248952</v>
      </c>
      <c r="R48" s="269">
        <f>IF(($H48&lt;=0),0,(P48/(H48*'Arnoud VDAB Pensioenopbouw'!$M$15))*100)</f>
        <v>129.1818407502476</v>
      </c>
      <c r="S48" s="249">
        <f t="shared" si="6"/>
        <v>19.501836227798563</v>
      </c>
      <c r="T48" s="249">
        <f t="shared" si="7"/>
        <v>37.543472468040704</v>
      </c>
    </row>
    <row r="49" spans="2:20" x14ac:dyDescent="0.3">
      <c r="B49" s="225">
        <v>64</v>
      </c>
      <c r="C49" s="248">
        <f>Blad1!D128</f>
        <v>73618.416893815738</v>
      </c>
      <c r="D49" s="248">
        <f>Blad1!F128</f>
        <v>38240.850279236802</v>
      </c>
      <c r="E49" s="248">
        <f>Blad1!P128</f>
        <v>717.01594273569003</v>
      </c>
      <c r="F49" s="223">
        <f>D49*('Arnoud VDAB Pensioenopbouw'!$D$19/100)</f>
        <v>10038.22319829966</v>
      </c>
      <c r="H49" s="248">
        <f>Blad1!R128</f>
        <v>776.67646098884461</v>
      </c>
      <c r="I49" s="248">
        <f>Blad1!S128</f>
        <v>40785.94069579908</v>
      </c>
      <c r="J49" s="250">
        <f>Blad1!L128</f>
        <v>571003.16974118736</v>
      </c>
      <c r="K49" s="266">
        <f>Blad1!T128</f>
        <v>90.322580645161281</v>
      </c>
      <c r="L49" s="249">
        <f t="shared" si="8"/>
        <v>13.635478215700282</v>
      </c>
      <c r="M49" s="249">
        <f t="shared" si="9"/>
        <v>26.25</v>
      </c>
      <c r="O49" s="250">
        <f>Blad3!F46</f>
        <v>14744.58055972544</v>
      </c>
      <c r="P49" s="259">
        <f>Blad3!N46</f>
        <v>15971.428200326474</v>
      </c>
      <c r="Q49" s="250">
        <f t="shared" si="5"/>
        <v>480419.97047281597</v>
      </c>
      <c r="R49" s="269">
        <f>IF(($H49&lt;=0),0,(P49/(H49*'Arnoud VDAB Pensioenopbouw'!$M$15))*100)</f>
        <v>132.66975045050424</v>
      </c>
      <c r="S49" s="249">
        <f t="shared" si="6"/>
        <v>20.028385805949121</v>
      </c>
      <c r="T49" s="249">
        <f t="shared" si="7"/>
        <v>38.557146224677794</v>
      </c>
    </row>
    <row r="50" spans="2:20" x14ac:dyDescent="0.3">
      <c r="B50" s="225">
        <v>65</v>
      </c>
      <c r="C50" s="248">
        <f>Blad1!D129</f>
        <v>75090.785231692047</v>
      </c>
      <c r="D50" s="248">
        <f>Blad1!F129</f>
        <v>39005.667284821531</v>
      </c>
      <c r="E50" s="248">
        <f>Blad1!P129</f>
        <v>731.35626159040373</v>
      </c>
      <c r="F50" s="223">
        <f>D50*('Arnoud VDAB Pensioenopbouw'!$D$19/100)</f>
        <v>10238.987662265652</v>
      </c>
      <c r="H50" s="248">
        <f>Blad1!R129</f>
        <v>771.38265843098475</v>
      </c>
      <c r="I50" s="248">
        <f>Blad1!S129</f>
        <v>41557.323354230066</v>
      </c>
      <c r="J50" s="250">
        <f>Blad1!L129</f>
        <v>581802.52695922111</v>
      </c>
      <c r="K50" s="266">
        <f>Blad1!T129</f>
        <v>90.322580645161295</v>
      </c>
      <c r="L50" s="249">
        <f t="shared" si="8"/>
        <v>13.635478215700282</v>
      </c>
      <c r="M50" s="249">
        <f t="shared" si="9"/>
        <v>26.25</v>
      </c>
      <c r="O50" s="250">
        <f>Blad3!F47</f>
        <v>15445.537919534783</v>
      </c>
      <c r="P50" s="259">
        <f>Blad3!N47</f>
        <v>16290.856764332999</v>
      </c>
      <c r="Q50" s="250">
        <f t="shared" si="5"/>
        <v>496710.82723714894</v>
      </c>
      <c r="R50" s="269">
        <f>IF(($H50&lt;=0),0,(P50/(H50*'Arnoud VDAB Pensioenopbouw'!$M$15))*100)</f>
        <v>136.25183371266786</v>
      </c>
      <c r="S50" s="249">
        <f t="shared" si="6"/>
        <v>20.569152222709739</v>
      </c>
      <c r="T50" s="249">
        <f t="shared" si="7"/>
        <v>39.598189172744092</v>
      </c>
    </row>
    <row r="51" spans="2:20" x14ac:dyDescent="0.3">
      <c r="B51" s="225">
        <v>66</v>
      </c>
      <c r="C51" s="248">
        <f>Blad1!D130</f>
        <v>76592.600936325893</v>
      </c>
      <c r="D51" s="248">
        <f>Blad1!F130</f>
        <v>39785.780630517969</v>
      </c>
      <c r="E51" s="248">
        <f>Blad1!P130</f>
        <v>745.98338682221186</v>
      </c>
      <c r="F51" s="223">
        <f>D51*('Arnoud VDAB Pensioenopbouw'!$D$19/100)</f>
        <v>10443.767415510967</v>
      </c>
      <c r="H51" s="248">
        <f>Blad1!R130</f>
        <v>766.1249382664115</v>
      </c>
      <c r="I51" s="248">
        <f>Blad1!S130</f>
        <v>42323.448292496476</v>
      </c>
      <c r="J51" s="250">
        <f>Blad1!L130</f>
        <v>592528.27609495085</v>
      </c>
      <c r="K51" s="266">
        <f>Blad1!T130</f>
        <v>90.322580645161295</v>
      </c>
      <c r="L51" s="249">
        <f t="shared" si="8"/>
        <v>13.635478215700282</v>
      </c>
      <c r="M51" s="249">
        <f t="shared" si="9"/>
        <v>26.25</v>
      </c>
      <c r="O51" s="250">
        <f>Blad3!F48</f>
        <v>16179.818792229469</v>
      </c>
      <c r="P51" s="259">
        <f>Blad3!N48</f>
        <v>16616.673899619662</v>
      </c>
      <c r="Q51" s="250">
        <f t="shared" si="5"/>
        <v>513327.50113676861</v>
      </c>
      <c r="R51" s="269">
        <f>IF(($H51&lt;=0),0,(P51/(H51*'Arnoud VDAB Pensioenopbouw'!$M$15))*100)</f>
        <v>139.93063322290988</v>
      </c>
      <c r="S51" s="249">
        <f t="shared" si="6"/>
        <v>21.124519332722908</v>
      </c>
      <c r="T51" s="249">
        <f t="shared" si="7"/>
        <v>40.667340280408176</v>
      </c>
    </row>
    <row r="52" spans="2:20" x14ac:dyDescent="0.3">
      <c r="B52" s="225">
        <v>67</v>
      </c>
      <c r="C52" s="248">
        <f>Blad1!D131</f>
        <v>78124.452955052417</v>
      </c>
      <c r="D52" s="248">
        <f>Blad1!F131</f>
        <v>40581.496243128335</v>
      </c>
      <c r="E52" s="248">
        <f>Blad1!P131</f>
        <v>760.90305455865632</v>
      </c>
      <c r="F52" s="223">
        <f>D52*('Arnoud VDAB Pensioenopbouw'!$D$19/100)</f>
        <v>10652.642763821188</v>
      </c>
      <c r="H52" s="248">
        <f>Blad1!R131</f>
        <v>760.90305455865632</v>
      </c>
      <c r="I52" s="248">
        <f>Blad1!S131</f>
        <v>43084.351347055133</v>
      </c>
      <c r="J52" s="250">
        <f>Blad1!L131</f>
        <v>603180.91885877203</v>
      </c>
      <c r="K52" s="266">
        <f>Blad1!T131</f>
        <v>90.322580645161281</v>
      </c>
      <c r="L52" s="249">
        <f t="shared" si="8"/>
        <v>13.635478215700283</v>
      </c>
      <c r="M52" s="249">
        <f t="shared" si="9"/>
        <v>26.25</v>
      </c>
      <c r="O52" s="250">
        <f>Blad3!F49</f>
        <v>16949.007377612059</v>
      </c>
      <c r="P52" s="259">
        <f>Blad3!N49</f>
        <v>16949.007377612059</v>
      </c>
      <c r="Q52" s="250">
        <f t="shared" si="5"/>
        <v>530276.50851438066</v>
      </c>
      <c r="R52" s="269">
        <f>IF(($H52&lt;=0),0,(P52/(H52*'Arnoud VDAB Pensioenopbouw'!$M$15))*100)</f>
        <v>143.70876031992842</v>
      </c>
      <c r="S52" s="249">
        <f t="shared" si="6"/>
        <v>21.694881354706425</v>
      </c>
      <c r="T52" s="249">
        <f t="shared" si="7"/>
        <v>41.765358467979198</v>
      </c>
    </row>
    <row r="53" spans="2:20" x14ac:dyDescent="0.3">
      <c r="B53" s="225">
        <v>68</v>
      </c>
      <c r="C53" s="248">
        <f>Blad1!D132</f>
        <v>7.9686942014153463E-3</v>
      </c>
      <c r="D53" s="248">
        <f>Blad1!F132</f>
        <v>-3.8293807877468359E-3</v>
      </c>
      <c r="E53" s="248">
        <f>Blad1!P132</f>
        <v>-7.1800889770253174E-5</v>
      </c>
      <c r="F53" s="223">
        <f>D53*('Arnoud VDAB Pensioenopbouw'!$D$19/100)</f>
        <v>-1.0052124567835445E-3</v>
      </c>
      <c r="H53" s="248">
        <f>Blad1!R132</f>
        <v>-6.9913232492943699E-5</v>
      </c>
      <c r="I53" s="248">
        <f>Blad1!S132</f>
        <v>4.3084351277141893E-3</v>
      </c>
      <c r="J53" s="250">
        <f>Blad1!L132</f>
        <v>6.0318091885877202E-2</v>
      </c>
      <c r="K53" s="266">
        <f>Blad1!T132</f>
        <v>9.0322580645161284E-13</v>
      </c>
      <c r="L53" s="249">
        <f t="shared" si="8"/>
        <v>0</v>
      </c>
      <c r="M53" s="249">
        <f t="shared" si="9"/>
        <v>0</v>
      </c>
      <c r="O53" s="250">
        <f>Blad3!F50</f>
        <v>-1.6425371876602638E-3</v>
      </c>
      <c r="P53" s="259">
        <f>Blad3!N50</f>
        <v>-1.5993546131063913E-3</v>
      </c>
      <c r="Q53" s="250">
        <f t="shared" si="5"/>
        <v>0</v>
      </c>
      <c r="R53" s="269">
        <f>IF(($H53&lt;=0),0,(P53/(H53*'Arnoud VDAB Pensioenopbouw'!$M$15))*100)</f>
        <v>0</v>
      </c>
      <c r="S53" s="249">
        <f t="shared" si="6"/>
        <v>0</v>
      </c>
      <c r="T53" s="249">
        <f t="shared" si="7"/>
        <v>0</v>
      </c>
    </row>
    <row r="54" spans="2:20" x14ac:dyDescent="0.3">
      <c r="B54" s="225">
        <v>69</v>
      </c>
      <c r="C54" s="248">
        <f>Blad1!D133</f>
        <v>8.1280680854436526E-10</v>
      </c>
      <c r="D54" s="248">
        <f>Blad1!F133</f>
        <v>-3.9059692163085002E-3</v>
      </c>
      <c r="E54" s="248">
        <f>Blad1!P133</f>
        <v>-7.3236922805784384E-5</v>
      </c>
      <c r="F54" s="223">
        <f>D54*('Arnoud VDAB Pensioenopbouw'!$D$19/100)</f>
        <v>-1.0253169192809813E-3</v>
      </c>
      <c r="H54" s="248">
        <f>Blad1!R133</f>
        <v>-6.9436720528007095E-5</v>
      </c>
      <c r="I54" s="248">
        <f>Blad1!S133</f>
        <v>4.2389984071861819E-10</v>
      </c>
      <c r="J54" s="250">
        <f>Blad1!L133</f>
        <v>6.0318091885877194E-9</v>
      </c>
      <c r="K54" s="266">
        <f>Blad1!T133</f>
        <v>9.0322580645161274E-13</v>
      </c>
      <c r="L54" s="249">
        <f t="shared" si="8"/>
        <v>0</v>
      </c>
      <c r="M54" s="249">
        <f t="shared" si="9"/>
        <v>0</v>
      </c>
      <c r="O54" s="250">
        <f>Blad3!F51</f>
        <v>-1.7206237636122194E-3</v>
      </c>
      <c r="P54" s="259">
        <f>Blad3!N51</f>
        <v>-1.6313420448401624E-3</v>
      </c>
      <c r="Q54" s="250">
        <f t="shared" si="5"/>
        <v>0</v>
      </c>
      <c r="R54" s="269">
        <f>IF(($H54&lt;=0),0,(P54/(H54*'Arnoud VDAB Pensioenopbouw'!$M$15))*100)</f>
        <v>0</v>
      </c>
      <c r="S54" s="249">
        <f t="shared" si="6"/>
        <v>0</v>
      </c>
      <c r="T54" s="249">
        <f t="shared" si="7"/>
        <v>0</v>
      </c>
    </row>
    <row r="55" spans="2:20" x14ac:dyDescent="0.3">
      <c r="B55" s="225">
        <v>70</v>
      </c>
      <c r="C55" s="248">
        <f>Blad1!D134</f>
        <v>8.2906294471525256E-17</v>
      </c>
      <c r="D55" s="248">
        <f>Blad1!F134</f>
        <v>-3.9840886006347531E-3</v>
      </c>
      <c r="E55" s="248">
        <f>Blad1!P134</f>
        <v>-7.4701661261901615E-5</v>
      </c>
      <c r="F55" s="223">
        <f>D55*('Arnoud VDAB Pensioenopbouw'!$D$19/100)</f>
        <v>-1.0458232576666228E-3</v>
      </c>
      <c r="H55" s="248">
        <f>Blad1!R134</f>
        <v>-6.8963442004448596E-5</v>
      </c>
      <c r="I55" s="248">
        <f>Blad1!S134</f>
        <v>-6.896301810460788E-12</v>
      </c>
      <c r="J55" s="250">
        <f>Blad1!L134</f>
        <v>6.0318091789328375E-16</v>
      </c>
      <c r="K55" s="266">
        <f>Blad1!T134</f>
        <v>9.0322580645161304E-13</v>
      </c>
      <c r="L55" s="249">
        <f t="shared" si="8"/>
        <v>0</v>
      </c>
      <c r="M55" s="249">
        <f t="shared" si="9"/>
        <v>0</v>
      </c>
      <c r="O55" s="250">
        <f>Blad3!F52</f>
        <v>-1.8024222173343817E-3</v>
      </c>
      <c r="P55" s="259">
        <f>Blad3!N52</f>
        <v>-1.6639688857370003E-3</v>
      </c>
      <c r="Q55" s="250">
        <f t="shared" si="5"/>
        <v>0</v>
      </c>
      <c r="R55" s="269">
        <f>IF(($H55&lt;=0),0,(P55/(H55*'Arnoud VDAB Pensioenopbouw'!$M$15))*100)</f>
        <v>0</v>
      </c>
      <c r="S55" s="249">
        <f t="shared" si="6"/>
        <v>0</v>
      </c>
      <c r="T55" s="249">
        <f t="shared" si="7"/>
        <v>0</v>
      </c>
    </row>
    <row r="56" spans="2:20" x14ac:dyDescent="0.3">
      <c r="B56" s="225">
        <v>71</v>
      </c>
      <c r="C56" s="248">
        <f>Blad1!D135</f>
        <v>8.4564420360955753E-24</v>
      </c>
      <c r="D56" s="248">
        <f>Blad1!F135</f>
        <v>-4.0637703726474489E-3</v>
      </c>
      <c r="E56" s="248">
        <f>Blad1!P135</f>
        <v>-7.6195694487139669E-5</v>
      </c>
      <c r="F56" s="223">
        <f>D56*('Arnoud VDAB Pensioenopbouw'!$D$19/100)</f>
        <v>-1.0667397228199553E-3</v>
      </c>
      <c r="H56" s="248">
        <f>Blad1!R135</f>
        <v>-6.8493389332558512E-5</v>
      </c>
      <c r="I56" s="248">
        <f>Blad1!S135</f>
        <v>-6.8493396228860319E-12</v>
      </c>
      <c r="J56" s="250">
        <f>Blad1!L135</f>
        <v>-9.5890141884663996E-18</v>
      </c>
      <c r="K56" s="266">
        <f>Blad1!T135</f>
        <v>9.0322580645161279E-6</v>
      </c>
      <c r="L56" s="249">
        <f t="shared" si="8"/>
        <v>0</v>
      </c>
      <c r="M56" s="249">
        <f t="shared" si="9"/>
        <v>0</v>
      </c>
      <c r="O56" s="250">
        <f>Blad3!F53</f>
        <v>-1.8881093695464588E-3</v>
      </c>
      <c r="P56" s="259">
        <f>Blad3!N53</f>
        <v>-1.6972482634517411E-3</v>
      </c>
      <c r="Q56" s="250">
        <f t="shared" si="5"/>
        <v>0</v>
      </c>
      <c r="R56" s="269">
        <f>IF(($H56&lt;=0),0,(P56/(H56*'Arnoud VDAB Pensioenopbouw'!$M$15))*100)</f>
        <v>0</v>
      </c>
      <c r="S56" s="249">
        <f t="shared" si="6"/>
        <v>0</v>
      </c>
      <c r="T56" s="249">
        <f t="shared" si="7"/>
        <v>0</v>
      </c>
    </row>
  </sheetData>
  <sheetProtection password="8D29" sheet="1" objects="1" scenarios="1"/>
  <dataConsolidate/>
  <mergeCells count="3">
    <mergeCell ref="O2:T2"/>
    <mergeCell ref="H2:M2"/>
    <mergeCell ref="B2:F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</vt:i4>
      </vt:variant>
    </vt:vector>
  </HeadingPairs>
  <TitlesOfParts>
    <vt:vector size="7" baseType="lpstr">
      <vt:lpstr>Arnoud VDAB Pensioenopbouw</vt:lpstr>
      <vt:lpstr>Blad1</vt:lpstr>
      <vt:lpstr>Blad2</vt:lpstr>
      <vt:lpstr>Blad3</vt:lpstr>
      <vt:lpstr>Blad4</vt:lpstr>
      <vt:lpstr>Print</vt:lpstr>
      <vt:lpstr>'Arnoud VDAB Pensioenopbouw'!Print_Area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Doorsneepremie pensioenen berekenen</dc:title>
  <dc:creator>Arnoud Bosch Hillegom tel: 0252-532182 06261-66449</dc:creator>
  <cp:keywords>Berekening van Doorsneepremie en Acturiele Pensioenpremie Arnoud Bosch Vereniging Docenten Assurantie- Bankleer (VDAB)</cp:keywords>
  <cp:lastModifiedBy>Arnoud VDAB</cp:lastModifiedBy>
  <cp:lastPrinted>2022-02-08T10:18:45Z</cp:lastPrinted>
  <dcterms:created xsi:type="dcterms:W3CDTF">2015-08-28T13:30:32Z</dcterms:created>
  <dcterms:modified xsi:type="dcterms:W3CDTF">2022-03-17T11:01:14Z</dcterms:modified>
</cp:coreProperties>
</file>